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0"/>
  </bookViews>
  <sheets>
    <sheet name="Formulación" sheetId="1" r:id="rId1"/>
    <sheet name="Inversión" sheetId="2" r:id="rId2"/>
  </sheets>
  <definedNames>
    <definedName name="_xlnm.Print_Area" localSheetId="0">'Formulación'!$A$1:$V$45</definedName>
    <definedName name="_xlnm.Print_Titles" localSheetId="0">'Formulación'!$6:$7</definedName>
  </definedNames>
  <calcPr fullCalcOnLoad="1"/>
</workbook>
</file>

<file path=xl/comments1.xml><?xml version="1.0" encoding="utf-8"?>
<comments xmlns="http://schemas.openxmlformats.org/spreadsheetml/2006/main">
  <authors>
    <author>bgiraldo</author>
    <author>BGIRALDO</author>
  </authors>
  <commentList>
    <comment ref="S6" authorId="0">
      <text>
        <r>
          <rPr>
            <b/>
            <sz val="8"/>
            <rFont val="Tahoma"/>
            <family val="2"/>
          </rPr>
          <t>bgiraldo:</t>
        </r>
        <r>
          <rPr>
            <sz val="8"/>
            <rFont val="Tahoma"/>
            <family val="2"/>
          </rPr>
          <t xml:space="preserve">
Digite en esta celda el porcentaje de ejecución para cada actividad en valores de 0% a 100%</t>
        </r>
      </text>
    </comment>
    <comment ref="W6" authorId="1">
      <text>
        <r>
          <rPr>
            <b/>
            <sz val="9"/>
            <rFont val="Tahoma"/>
            <family val="2"/>
          </rPr>
          <t>BGIRALDO:</t>
        </r>
        <r>
          <rPr>
            <sz val="9"/>
            <rFont val="Tahoma"/>
            <family val="2"/>
          </rPr>
          <t xml:space="preserve">
</t>
        </r>
        <r>
          <rPr>
            <b/>
            <sz val="9"/>
            <rFont val="Tahoma"/>
            <family val="2"/>
          </rPr>
          <t>En esta celda registre los detalles de la ejecución de la meta, Ejplo:</t>
        </r>
        <r>
          <rPr>
            <sz val="9"/>
            <rFont val="Tahoma"/>
            <family val="2"/>
          </rPr>
          <t xml:space="preserve">
No. De cursos realizados: temáticas, No. De participantes por cada curso
 . No. De convenios suscritos,   Nombre de las Entidades con las cuales se suscribieron.
 No. De programas Autoevaluados, Nombres de los programas Autoevaluados.
 No. De docentes en movilidad académica saliente, nombre del docente y lugar de destino.
 No. de Docentes en movilidad académica entrante, nombre del docente y lugar de procedencia
               </t>
        </r>
      </text>
    </comment>
  </commentList>
</comments>
</file>

<file path=xl/sharedStrings.xml><?xml version="1.0" encoding="utf-8"?>
<sst xmlns="http://schemas.openxmlformats.org/spreadsheetml/2006/main" count="183" uniqueCount="129">
  <si>
    <t>TECNOLOGICO DE ANTIOQUIA</t>
  </si>
  <si>
    <t>Línea estratégica</t>
  </si>
  <si>
    <t>Objetivo estratégico</t>
  </si>
  <si>
    <t>Proyecto</t>
  </si>
  <si>
    <t>código</t>
  </si>
  <si>
    <t>Indicador</t>
  </si>
  <si>
    <t>Logro de la Meta</t>
  </si>
  <si>
    <t>Presupuesto 
  (millones de pesos)</t>
  </si>
  <si>
    <t>Actividades</t>
  </si>
  <si>
    <t>Ponderacion actividad</t>
  </si>
  <si>
    <t xml:space="preserve">Responsable </t>
  </si>
  <si>
    <t>Avance físico programado %</t>
  </si>
  <si>
    <t>% ejecución de la actividad</t>
  </si>
  <si>
    <t>% ejecución del indicador</t>
  </si>
  <si>
    <t>% ponderación del indicador</t>
  </si>
  <si>
    <t>ejecución Vs ponderación</t>
  </si>
  <si>
    <t>Evidencias de la ejecución del indicador</t>
  </si>
  <si>
    <t>Marzo</t>
  </si>
  <si>
    <t>Junio</t>
  </si>
  <si>
    <t>Septiembre</t>
  </si>
  <si>
    <t>Diciembre</t>
  </si>
  <si>
    <t xml:space="preserve">3. INTERNACIONALIZACIÓN E INTERACCIÓN CON LOS AGENTES SOCIALES Y COMUNITARIOS </t>
  </si>
  <si>
    <t>7. Consolidar la cooperación con Instituciones de Educación Superior y  demás entidades  en los ámbitos departamental, nacional e internacional.</t>
  </si>
  <si>
    <t xml:space="preserve">Convenios Nacionales e Internacionales </t>
  </si>
  <si>
    <t xml:space="preserve">Número de convenios Nacionales e Internacionales suscritos
</t>
  </si>
  <si>
    <t>Realizar seguimiento a los convenios y sus actividades</t>
  </si>
  <si>
    <t>TOTAL ACUMULADO INDICADOR</t>
  </si>
  <si>
    <t>Movilidad académica saliente de  docentes</t>
  </si>
  <si>
    <t>Número de docentes en movilidad académica saliente</t>
  </si>
  <si>
    <t xml:space="preserve">Gestionar los procedimientos de solicitud, aprobación y reporte de movilidad </t>
  </si>
  <si>
    <t>Promover y generar oportunidades  de movilidad académica</t>
  </si>
  <si>
    <t>Movilidad académica entrante de  docentes</t>
  </si>
  <si>
    <t xml:space="preserve">Número de docentes en movilidad académica entrante </t>
  </si>
  <si>
    <t>Movilidad académica saliente de  estudiantes</t>
  </si>
  <si>
    <t xml:space="preserve">Número de estudiantes en  movilidad académica saliente </t>
  </si>
  <si>
    <t>Movilidad académica entrante de  estudiantes</t>
  </si>
  <si>
    <t xml:space="preserve">Número de estudiantes en movilidad académica entrante </t>
  </si>
  <si>
    <t>7. Consolidar la cooperación con Instituciones de Educación Superior y  demás entidades  en los ámbitos departamental, nacional e internacional</t>
  </si>
  <si>
    <t>Interculturalidad</t>
  </si>
  <si>
    <t>Número de actividades que promuevan la interculturalidad de la comunidad educativa</t>
  </si>
  <si>
    <t xml:space="preserve">Desarrollar actividades y proyectos que promuevan el mejoramiento de las competencias en  segunda lengua y la multiculturalidad de la comunidad institucional.  </t>
  </si>
  <si>
    <t>8. Promover la inclusión de competencias internacionales en los currículos</t>
  </si>
  <si>
    <t>Internacionalización currricular</t>
  </si>
  <si>
    <t>Número de currículos intervenidos con actividades y competencias internacionales</t>
  </si>
  <si>
    <t>Realizar plan de trabajo con docentes para la internacionalización currícular</t>
  </si>
  <si>
    <t>Acompañar el desarrollo de proyectos de internacionalización curricular por las facultades</t>
  </si>
  <si>
    <t>9. Fortalecer el posicionamiento de la institución en el contexto nacional e internacional</t>
  </si>
  <si>
    <t>Posicionamiento Institucional en el ámbito internacional</t>
  </si>
  <si>
    <t>Número de eventos internacionales  de posicionamiento en los que participa la Institución</t>
  </si>
  <si>
    <t>Participación de la institución en ferias y eventos Internacionales</t>
  </si>
  <si>
    <t>Doble Titulación</t>
  </si>
  <si>
    <t>Porcentaje de Avance de proyecto de Doble titulación</t>
  </si>
  <si>
    <t>TOTAL  PLAN DE ACCIÓN</t>
  </si>
  <si>
    <t>FIRMA  - PROFESIONAL DE INTERNACIONALIZACIÓN</t>
  </si>
  <si>
    <t>030701-2018</t>
  </si>
  <si>
    <t>030702-2018</t>
  </si>
  <si>
    <t>030703-2018</t>
  </si>
  <si>
    <t xml:space="preserve">030704-2018
</t>
  </si>
  <si>
    <t xml:space="preserve">030705-2018
</t>
  </si>
  <si>
    <t xml:space="preserve">030706-2018
</t>
  </si>
  <si>
    <t xml:space="preserve">030707-2018
</t>
  </si>
  <si>
    <t xml:space="preserve">030801-2018
</t>
  </si>
  <si>
    <t xml:space="preserve">030901-2018
</t>
  </si>
  <si>
    <t xml:space="preserve">030902-2018
</t>
  </si>
  <si>
    <t>DEPENDENCIA: DIRECCIÓN DE  INTERNACIONALIZACIÓN</t>
  </si>
  <si>
    <r>
      <t xml:space="preserve">Meta 2018: 4 Int nuevos. 4 Nales
FCAE:1 Intl - 1 Nales 
FI: 1 Intl - 1 Nales
FECS: 1 Intl - 1 Nales
FDCF: 1 Intl - 1 Nales
</t>
    </r>
    <r>
      <rPr>
        <b/>
        <sz val="10"/>
        <color indexed="8"/>
        <rFont val="Calibri"/>
        <family val="2"/>
      </rPr>
      <t>Los convenios responden a las necesidades de cooperación, movilidad e investigación de cada facultad. Son los docentes quienes realizan la ejecución de los convenios</t>
    </r>
    <r>
      <rPr>
        <sz val="10"/>
        <color indexed="8"/>
        <rFont val="Calibri"/>
        <family val="2"/>
      </rPr>
      <t xml:space="preserve">
</t>
    </r>
  </si>
  <si>
    <t xml:space="preserve">Apoyar la gestión de los procedimientos de solicitud, aprobación y reporte de movilidad </t>
  </si>
  <si>
    <t>Planeación de la agenda y su operación logística</t>
  </si>
  <si>
    <t>Apoyar el desarrollo de los planes de movilidad</t>
  </si>
  <si>
    <t>Acompañar plan de actualización y ajustes curriculares</t>
  </si>
  <si>
    <t>Proyectos de Cooperación Internacional</t>
  </si>
  <si>
    <t xml:space="preserve">Número de proyectos de Cooperación Presentados </t>
  </si>
  <si>
    <t>Administrar  la plataforma de cooperación y seguimiento a convocatorias</t>
  </si>
  <si>
    <t>Difundir las convocatorias de cooperación internacional con la comunidad del TdeA</t>
  </si>
  <si>
    <t>Formular y presentar proyectos de cooperación y subvenciones de la mano con las unidades interesadas</t>
  </si>
  <si>
    <t>Dirección de Internacionalización</t>
  </si>
  <si>
    <t>Dirección de Internacionalización
Facultades</t>
  </si>
  <si>
    <t>Dirección de Internacionalización
Facultades
Dirección de Extensión
Dirección de Investigación</t>
  </si>
  <si>
    <t xml:space="preserve">Dirección de Internacionalización
Departamento de Ciencias Básicas y Áreas Comunes
</t>
  </si>
  <si>
    <t>Suscribir convenio de doble titulación</t>
  </si>
  <si>
    <t>Dirección de Internacionalización
Facultades
Vicerrectoría Académica</t>
  </si>
  <si>
    <t>Dirección de Internacionalización
Vicerrectoría Académica</t>
  </si>
  <si>
    <t>Proyecto / Rubros</t>
  </si>
  <si>
    <t>Convenios</t>
  </si>
  <si>
    <t>Tiquetes</t>
  </si>
  <si>
    <t>Viáticos</t>
  </si>
  <si>
    <t>Personal</t>
  </si>
  <si>
    <t>Inscripciones</t>
  </si>
  <si>
    <t>Membresías</t>
  </si>
  <si>
    <t>Movilidad Saliente Docente</t>
  </si>
  <si>
    <t>Hospedaje</t>
  </si>
  <si>
    <t>Movilidad Entrante Docente</t>
  </si>
  <si>
    <t>Souvenirs</t>
  </si>
  <si>
    <t>Alimentación</t>
  </si>
  <si>
    <t>Transporte Interno</t>
  </si>
  <si>
    <t>Movilidad Saliente Estudiantes</t>
  </si>
  <si>
    <t>Incentivos</t>
  </si>
  <si>
    <t>Movilidad Entrante Estudiantes</t>
  </si>
  <si>
    <t>Salidas Turisticas / Culturales</t>
  </si>
  <si>
    <t>Ingresos Sitios de Interés</t>
  </si>
  <si>
    <t>Litografía</t>
  </si>
  <si>
    <t>Material Decorativo / Diseños</t>
  </si>
  <si>
    <t>Internacionalización Curricular</t>
  </si>
  <si>
    <t>Posicionamiento</t>
  </si>
  <si>
    <t>Total</t>
  </si>
  <si>
    <t>PLAN DE ACCION 2019</t>
  </si>
  <si>
    <t>Meta 2019</t>
  </si>
  <si>
    <t>1 por Facultad. 
Meta acumulada: 18</t>
  </si>
  <si>
    <t xml:space="preserve">44
 Inter
30
Nales </t>
  </si>
  <si>
    <r>
      <rPr>
        <b/>
        <sz val="10"/>
        <color indexed="8"/>
        <rFont val="Calibri"/>
        <family val="2"/>
      </rPr>
      <t>Proporcional a Número de Estudiantes</t>
    </r>
    <r>
      <rPr>
        <sz val="10"/>
        <color indexed="8"/>
        <rFont val="Calibri"/>
        <family val="2"/>
      </rPr>
      <t xml:space="preserve">
FCAE: 2861 estudiantes -- 29,3% ---  29 estudiantes en movilidad saliente
FI: 1786 estudiantes -- 18,3% -- 18 estudiantes en movilidad saliente
FECS: 4065 estudiantes-- 41,7% --- 42 estudiantes en movilidad saliente
FDCF: 1032 estudiantes-- 10,6% -- 11 estudiantes en movilidad saliente
60 Internacionales
40 Nacionales</t>
    </r>
  </si>
  <si>
    <r>
      <rPr>
        <b/>
        <sz val="10"/>
        <color indexed="8"/>
        <rFont val="Calibri"/>
        <family val="2"/>
      </rPr>
      <t>Proporcional a Número de Docentes de Tiempo completo por Facultad</t>
    </r>
    <r>
      <rPr>
        <sz val="10"/>
        <color indexed="8"/>
        <rFont val="Calibri"/>
        <family val="2"/>
      </rPr>
      <t xml:space="preserve">
FCAE: 24 docentes TC -- 29% -- 15 docentes en movilidad saliente
FI: 22 docentes TC -- 26% --  13 docentes en movilidad saliente
FECS: 27 docentes TC-- 32% -- 16 docentes en movilidad saliente
FDCF: 11 docentes TC-- 13% -- 7 docentes en movilidad saliente
35 Internacionales
16 Nacionales
</t>
    </r>
  </si>
  <si>
    <r>
      <rPr>
        <b/>
        <sz val="10"/>
        <color indexed="8"/>
        <rFont val="Calibri"/>
        <family val="2"/>
      </rPr>
      <t>Proporcional a Número de Docentes de Tiempo completo. Son los docentes quienes programan cursos, eventos, conferenciasy demás actividades que promueven la movilidad entrante</t>
    </r>
    <r>
      <rPr>
        <sz val="10"/>
        <color indexed="8"/>
        <rFont val="Calibri"/>
        <family val="2"/>
      </rPr>
      <t xml:space="preserve">
FCAE: 24 docentes TC -- 29% -- 17 docentes en movilidad entrante
FI: 22 docentes TC -- 26% --  16 docentes en movilidad entrante
FECS: 27 docentes TC-- 32% -- 19 docentes en movilidad entrante
FDCF: 11 docentes TC-- 13% -- 8 docentes en movilidad entrante
50 Internacionales
10 Nacionales</t>
    </r>
  </si>
  <si>
    <r>
      <rPr>
        <b/>
        <sz val="10"/>
        <color indexed="8"/>
        <rFont val="Calibri"/>
        <family val="2"/>
      </rPr>
      <t xml:space="preserve">Proporcional a Número de Docentes de Tiempo Completo. Son los docentes quienes programan cursos, eventos, pasantías y demás actividades que promueven la movilidad entrante de estudiantes
</t>
    </r>
    <r>
      <rPr>
        <sz val="10"/>
        <color indexed="8"/>
        <rFont val="Calibri"/>
        <family val="2"/>
      </rPr>
      <t xml:space="preserve">FCAE: 24 docentes TC -- 29% -- 35 estudiantes en movilidad entrante
FI: 22 docentes TC -- 26% --  31 estudiantes en movilidad entrante
FECS: 27 docentes TC-- 32% -- 38  estudiantes en movilidad entrante
FDCF: 11 docentes TC-- 13% -- 16 estudiantes en movilidad entrante
40 Internacionales
80 Nacionales
</t>
    </r>
  </si>
  <si>
    <t xml:space="preserve">
2 Conociendo país
5 Meet Up Sessions
2 Feria de Movilidad
1 Ciudad Global</t>
  </si>
  <si>
    <t>Gestionar la suscripción de convenios de cooperación de acuerdo con las necesidades académicas</t>
  </si>
  <si>
    <t>43 INT
25 NAL</t>
  </si>
  <si>
    <t>46 INT
26 NAL</t>
  </si>
  <si>
    <t>46 INT
28 NAL</t>
  </si>
  <si>
    <t>48 INT
28 NAL</t>
  </si>
  <si>
    <t>Anexo 1. BD Convenios</t>
  </si>
  <si>
    <t>Anexo 2. Proyectos de Cooperación
1. Erasmus+: Modernisation and internationalisation of curricula in ICT -MICTC
2. Erasmus +: Towards the Future: Traveling together - TRAVELTO
3. Erasmus+: Innovation for the Andes - ECOR
4. Partners of the Americas: Collaborative Translating: Human Accuracy at the Speed of Machines
5. UNILEAD - DAAD</t>
  </si>
  <si>
    <t>Anexo 3. BD. Movilidad Docentes
Dic: 19 nacionales + 52 internacionales</t>
  </si>
  <si>
    <t>Anexo 3. BD. Movilidad Docentes
Dic: 51 INT -  60 NAL</t>
  </si>
  <si>
    <t>Anexo 4. BD. Movilidad Estudiantes
Dic: 87 internacionales -123 nacionales</t>
  </si>
  <si>
    <t>Anexo 4. BD. Movilidad Estudiantes
Dic: 150 internacionales - 156 nacionales</t>
  </si>
  <si>
    <t>Anexo 5. Eventos
1. Feria de Oportunidades de Movilidad Abril 
2. Feria de Oportunidades de Movilidad Agosto
3. Conociendo México
4. Escuela de Verano para Jóvenes Investigadores
5. Escuela Internacional en Innovación Social
6. Ciudad Global: Conociendo Puerto Rico
7. Escuela Internacional de Invierno en Sustentabilidad
8. Charla de Movilidad: Bolivia
9.  Charla de Movilidad: Argentina
10. Charla de Movilidad: México
11.  Charla de Movilidad: Brasil
12. Inducción - Integración Partners TdeA</t>
  </si>
  <si>
    <t>Anexo 6. Planes INTC
Trabajo Social + Lic. Literatura
Investigación Judicial + Psicología</t>
  </si>
  <si>
    <t>Anexo 7. Posicionamiento
Misión Institucional Argentina Chile.
Poncho International Week. Paraguay
Asamblea Programa Delfín. México
EAIE. Finlandia</t>
  </si>
  <si>
    <r>
      <rPr>
        <b/>
        <sz val="10"/>
        <rFont val="Calibri"/>
        <family val="2"/>
      </rPr>
      <t>Anexo 8. Doble Titulación
Facultad de Educación</t>
    </r>
    <r>
      <rPr>
        <sz val="10"/>
        <rFont val="Calibri"/>
        <family val="2"/>
      </rPr>
      <t xml:space="preserve">
- Lic. Educación Infantil (estudio UBS)
</t>
    </r>
    <r>
      <rPr>
        <b/>
        <sz val="10"/>
        <rFont val="Calibri"/>
        <family val="2"/>
      </rPr>
      <t>Facultad de Ciencias Administrativas y Económicas</t>
    </r>
    <r>
      <rPr>
        <sz val="10"/>
        <rFont val="Calibri"/>
        <family val="2"/>
      </rPr>
      <t xml:space="preserve">
- Maestria en Mercadeo (Convenio para firmas UO)</t>
    </r>
  </si>
</sst>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s>
  <fonts count="50">
    <font>
      <sz val="11"/>
      <color theme="1"/>
      <name val="Calibri"/>
      <family val="2"/>
    </font>
    <font>
      <sz val="11"/>
      <color indexed="8"/>
      <name val="Calibri"/>
      <family val="2"/>
    </font>
    <font>
      <b/>
      <sz val="14"/>
      <color indexed="8"/>
      <name val="Calibri"/>
      <family val="2"/>
    </font>
    <font>
      <b/>
      <sz val="11"/>
      <color indexed="8"/>
      <name val="Calibri"/>
      <family val="2"/>
    </font>
    <font>
      <b/>
      <sz val="10"/>
      <color indexed="8"/>
      <name val="Calibri"/>
      <family val="2"/>
    </font>
    <font>
      <sz val="10"/>
      <color indexed="8"/>
      <name val="Calibri"/>
      <family val="2"/>
    </font>
    <font>
      <sz val="10"/>
      <name val="Calibri"/>
      <family val="2"/>
    </font>
    <font>
      <sz val="10"/>
      <color indexed="10"/>
      <name val="Calibri"/>
      <family val="2"/>
    </font>
    <font>
      <b/>
      <sz val="14"/>
      <color indexed="10"/>
      <name val="Calibri"/>
      <family val="2"/>
    </font>
    <font>
      <b/>
      <sz val="8"/>
      <name val="Tahoma"/>
      <family val="2"/>
    </font>
    <font>
      <sz val="8"/>
      <name val="Tahoma"/>
      <family val="2"/>
    </font>
    <font>
      <b/>
      <sz val="9"/>
      <name val="Tahoma"/>
      <family val="2"/>
    </font>
    <font>
      <sz val="9"/>
      <name val="Tahoma"/>
      <family val="2"/>
    </font>
    <font>
      <b/>
      <sz val="1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Calibri"/>
      <family val="2"/>
    </font>
    <font>
      <b/>
      <sz val="14"/>
      <color rgb="FFFF0000"/>
      <name val="Calibri"/>
      <family val="2"/>
    </font>
    <font>
      <b/>
      <sz val="10"/>
      <color theme="1"/>
      <name val="Calibri"/>
      <family val="2"/>
    </font>
    <font>
      <sz val="10"/>
      <color rgb="FFFF00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9FF99"/>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style="thin"/>
      <bottom style="thin"/>
    </border>
    <border>
      <left style="thin"/>
      <right/>
      <top style="thin"/>
      <bottom style="thin"/>
    </border>
    <border>
      <left/>
      <right style="thin"/>
      <top style="thin"/>
      <bottom style="thin"/>
    </border>
    <border>
      <left/>
      <right/>
      <top/>
      <bottom style="thin"/>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164"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1"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158">
    <xf numFmtId="0" fontId="0" fillId="0" borderId="0" xfId="0" applyFont="1" applyAlignment="1">
      <alignment/>
    </xf>
    <xf numFmtId="0" fontId="2" fillId="0" borderId="0" xfId="0" applyFont="1" applyAlignment="1">
      <alignment vertical="center"/>
    </xf>
    <xf numFmtId="0" fontId="0" fillId="0" borderId="0" xfId="0" applyAlignment="1">
      <alignment vertical="center"/>
    </xf>
    <xf numFmtId="0" fontId="2" fillId="0" borderId="0" xfId="0" applyFont="1" applyAlignment="1">
      <alignment horizontal="center" vertical="center"/>
    </xf>
    <xf numFmtId="9" fontId="2" fillId="0" borderId="0" xfId="53" applyFont="1" applyAlignment="1">
      <alignment horizontal="center" vertical="center"/>
    </xf>
    <xf numFmtId="0" fontId="4" fillId="33" borderId="10" xfId="0" applyFont="1" applyFill="1" applyBorder="1" applyAlignment="1">
      <alignment horizontal="center" vertical="center" textRotation="90" wrapText="1"/>
    </xf>
    <xf numFmtId="9" fontId="4" fillId="34" borderId="10" xfId="53" applyFont="1" applyFill="1" applyBorder="1" applyAlignment="1">
      <alignment horizontal="center" vertical="center" textRotation="90" wrapText="1"/>
    </xf>
    <xf numFmtId="9" fontId="5" fillId="0" borderId="10" xfId="0" applyNumberFormat="1" applyFont="1" applyBorder="1" applyAlignment="1">
      <alignment horizontal="center" vertical="center"/>
    </xf>
    <xf numFmtId="0" fontId="5" fillId="0" borderId="10" xfId="0" applyFont="1" applyBorder="1" applyAlignment="1">
      <alignment horizontal="left" vertical="center" wrapText="1"/>
    </xf>
    <xf numFmtId="9" fontId="5" fillId="0" borderId="10" xfId="53" applyFont="1" applyBorder="1" applyAlignment="1">
      <alignment horizontal="center" vertical="center"/>
    </xf>
    <xf numFmtId="9" fontId="5" fillId="33" borderId="10" xfId="0" applyNumberFormat="1" applyFont="1" applyFill="1" applyBorder="1" applyAlignment="1">
      <alignment horizontal="center" vertical="center"/>
    </xf>
    <xf numFmtId="9" fontId="5" fillId="35" borderId="10" xfId="0" applyNumberFormat="1" applyFont="1" applyFill="1" applyBorder="1" applyAlignment="1">
      <alignment horizontal="center" vertical="center"/>
    </xf>
    <xf numFmtId="9" fontId="5" fillId="36" borderId="10" xfId="0" applyNumberFormat="1" applyFont="1" applyFill="1" applyBorder="1" applyAlignment="1">
      <alignment horizontal="center" vertical="center"/>
    </xf>
    <xf numFmtId="0" fontId="5" fillId="36" borderId="10" xfId="0" applyFont="1" applyFill="1" applyBorder="1" applyAlignment="1">
      <alignment horizontal="center" vertical="center"/>
    </xf>
    <xf numFmtId="9" fontId="5" fillId="36" borderId="10" xfId="53" applyFont="1" applyFill="1" applyBorder="1" applyAlignment="1">
      <alignment horizontal="center" vertical="center"/>
    </xf>
    <xf numFmtId="0" fontId="5" fillId="36" borderId="10" xfId="0" applyFont="1" applyFill="1" applyBorder="1" applyAlignment="1">
      <alignment vertical="center"/>
    </xf>
    <xf numFmtId="0" fontId="4" fillId="37" borderId="11" xfId="0" applyFont="1" applyFill="1" applyBorder="1" applyAlignment="1">
      <alignment horizontal="center" vertical="center" wrapText="1"/>
    </xf>
    <xf numFmtId="0" fontId="5" fillId="37" borderId="11" xfId="0" applyFont="1" applyFill="1" applyBorder="1" applyAlignment="1">
      <alignment horizontal="center" vertical="center" wrapText="1"/>
    </xf>
    <xf numFmtId="0" fontId="5" fillId="0" borderId="11" xfId="0" applyFont="1" applyBorder="1" applyAlignment="1">
      <alignment horizontal="center" vertical="top" wrapText="1"/>
    </xf>
    <xf numFmtId="0" fontId="4"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9" fontId="5" fillId="36" borderId="11" xfId="0" applyNumberFormat="1" applyFont="1" applyFill="1" applyBorder="1" applyAlignment="1">
      <alignment horizontal="center" vertical="center"/>
    </xf>
    <xf numFmtId="0" fontId="45" fillId="0" borderId="10" xfId="0" applyFont="1" applyBorder="1" applyAlignment="1">
      <alignment horizontal="left" vertical="center" wrapText="1"/>
    </xf>
    <xf numFmtId="9" fontId="45" fillId="0" borderId="10" xfId="0" applyNumberFormat="1" applyFont="1" applyBorder="1" applyAlignment="1">
      <alignment horizontal="center" vertical="center"/>
    </xf>
    <xf numFmtId="0" fontId="4" fillId="36" borderId="12" xfId="0" applyFont="1" applyFill="1" applyBorder="1" applyAlignment="1">
      <alignment horizontal="center" vertical="center"/>
    </xf>
    <xf numFmtId="3" fontId="4" fillId="36" borderId="10" xfId="0" applyNumberFormat="1" applyFont="1" applyFill="1" applyBorder="1" applyAlignment="1">
      <alignment horizontal="center" vertical="center"/>
    </xf>
    <xf numFmtId="3" fontId="4" fillId="36" borderId="13" xfId="0" applyNumberFormat="1" applyFont="1" applyFill="1" applyBorder="1" applyAlignment="1">
      <alignment horizontal="center" vertical="center"/>
    </xf>
    <xf numFmtId="9" fontId="5" fillId="36" borderId="14" xfId="0" applyNumberFormat="1" applyFont="1" applyFill="1" applyBorder="1" applyAlignment="1">
      <alignment horizontal="center" vertical="center"/>
    </xf>
    <xf numFmtId="49" fontId="46" fillId="0" borderId="0" xfId="0" applyNumberFormat="1" applyFont="1" applyAlignment="1">
      <alignment vertical="center"/>
    </xf>
    <xf numFmtId="0" fontId="46" fillId="0" borderId="0" xfId="0" applyFont="1" applyAlignment="1">
      <alignment vertical="center"/>
    </xf>
    <xf numFmtId="3" fontId="0" fillId="0" borderId="0" xfId="0" applyNumberFormat="1" applyAlignment="1">
      <alignment vertical="center"/>
    </xf>
    <xf numFmtId="9" fontId="0" fillId="0" borderId="0" xfId="53" applyFont="1" applyAlignment="1">
      <alignment vertical="center"/>
    </xf>
    <xf numFmtId="0" fontId="0" fillId="0" borderId="15" xfId="0" applyBorder="1" applyAlignment="1">
      <alignment vertical="center"/>
    </xf>
    <xf numFmtId="49" fontId="0" fillId="0" borderId="0" xfId="0" applyNumberFormat="1" applyAlignment="1">
      <alignment vertical="center"/>
    </xf>
    <xf numFmtId="9" fontId="0" fillId="0" borderId="0" xfId="0" applyNumberFormat="1" applyAlignment="1">
      <alignment vertical="center"/>
    </xf>
    <xf numFmtId="9" fontId="5" fillId="36" borderId="11" xfId="0" applyNumberFormat="1" applyFont="1" applyFill="1" applyBorder="1" applyAlignment="1">
      <alignment horizontal="center" vertical="center"/>
    </xf>
    <xf numFmtId="0" fontId="5" fillId="0" borderId="11" xfId="0" applyFont="1" applyFill="1" applyBorder="1" applyAlignment="1">
      <alignment horizontal="center" vertical="center" wrapText="1"/>
    </xf>
    <xf numFmtId="0" fontId="4" fillId="0" borderId="11" xfId="0" applyFont="1" applyBorder="1" applyAlignment="1">
      <alignment horizontal="center" vertical="top" wrapText="1"/>
    </xf>
    <xf numFmtId="0" fontId="5" fillId="0" borderId="10" xfId="0" applyFont="1" applyFill="1" applyBorder="1" applyAlignment="1">
      <alignment horizontal="left" vertical="center" wrapText="1"/>
    </xf>
    <xf numFmtId="9" fontId="5" fillId="0" borderId="10" xfId="0" applyNumberFormat="1" applyFont="1" applyFill="1" applyBorder="1" applyAlignment="1">
      <alignment horizontal="center" vertical="center"/>
    </xf>
    <xf numFmtId="9" fontId="5" fillId="0" borderId="10" xfId="53" applyFont="1" applyFill="1" applyBorder="1" applyAlignment="1">
      <alignment horizontal="center" vertical="center"/>
    </xf>
    <xf numFmtId="9" fontId="45" fillId="0" borderId="10" xfId="0" applyNumberFormat="1" applyFont="1" applyFill="1" applyBorder="1" applyAlignment="1">
      <alignment horizontal="center" vertical="center"/>
    </xf>
    <xf numFmtId="9" fontId="5" fillId="36" borderId="11" xfId="0" applyNumberFormat="1" applyFont="1" applyFill="1" applyBorder="1" applyAlignment="1">
      <alignment horizontal="center" vertical="center"/>
    </xf>
    <xf numFmtId="9" fontId="5" fillId="37" borderId="10" xfId="0" applyNumberFormat="1" applyFont="1" applyFill="1" applyBorder="1" applyAlignment="1">
      <alignment horizontal="center" vertical="center"/>
    </xf>
    <xf numFmtId="0" fontId="5" fillId="37" borderId="10" xfId="0" applyFont="1" applyFill="1" applyBorder="1" applyAlignment="1">
      <alignment horizontal="left" vertical="center" wrapText="1"/>
    </xf>
    <xf numFmtId="9" fontId="5" fillId="37" borderId="10" xfId="53" applyFont="1" applyFill="1" applyBorder="1" applyAlignment="1">
      <alignment horizontal="center" vertical="center"/>
    </xf>
    <xf numFmtId="49" fontId="5" fillId="7" borderId="11" xfId="0" applyNumberFormat="1" applyFont="1" applyFill="1" applyBorder="1" applyAlignment="1">
      <alignment horizontal="center" vertical="center" wrapText="1"/>
    </xf>
    <xf numFmtId="49" fontId="45" fillId="7" borderId="11" xfId="0" applyNumberFormat="1" applyFont="1" applyFill="1" applyBorder="1" applyAlignment="1">
      <alignment horizontal="center" vertical="center" wrapText="1"/>
    </xf>
    <xf numFmtId="9" fontId="5" fillId="36" borderId="11" xfId="0" applyNumberFormat="1" applyFont="1" applyFill="1" applyBorder="1" applyAlignment="1">
      <alignment horizontal="center" vertical="center"/>
    </xf>
    <xf numFmtId="9" fontId="0" fillId="0" borderId="10" xfId="53" applyFont="1" applyBorder="1" applyAlignment="1">
      <alignment vertical="center"/>
    </xf>
    <xf numFmtId="0" fontId="45" fillId="37" borderId="10" xfId="0" applyFont="1" applyFill="1" applyBorder="1" applyAlignment="1">
      <alignment horizontal="left" vertical="center" wrapText="1"/>
    </xf>
    <xf numFmtId="0" fontId="0" fillId="0" borderId="10" xfId="0" applyFont="1" applyBorder="1" applyAlignment="1">
      <alignment vertical="center" wrapText="1"/>
    </xf>
    <xf numFmtId="0" fontId="45" fillId="0" borderId="10" xfId="0" applyFont="1" applyFill="1" applyBorder="1" applyAlignment="1">
      <alignment horizontal="left" vertical="center" wrapText="1"/>
    </xf>
    <xf numFmtId="0" fontId="45" fillId="38" borderId="10" xfId="0" applyFont="1" applyFill="1" applyBorder="1" applyAlignment="1">
      <alignment horizontal="left" vertical="center" wrapText="1"/>
    </xf>
    <xf numFmtId="3" fontId="47" fillId="36" borderId="10" xfId="0" applyNumberFormat="1" applyFont="1" applyFill="1" applyBorder="1" applyAlignment="1">
      <alignment horizontal="center" vertical="center" wrapText="1"/>
    </xf>
    <xf numFmtId="0" fontId="0" fillId="0" borderId="0" xfId="0" applyFont="1" applyAlignment="1">
      <alignment vertical="center" wrapText="1"/>
    </xf>
    <xf numFmtId="9" fontId="0" fillId="0" borderId="10" xfId="53" applyFont="1" applyBorder="1" applyAlignment="1">
      <alignment horizontal="center" vertical="center"/>
    </xf>
    <xf numFmtId="164" fontId="0" fillId="0" borderId="0" xfId="50" applyFont="1" applyAlignment="1">
      <alignment/>
    </xf>
    <xf numFmtId="0" fontId="44" fillId="0" borderId="0" xfId="0" applyFont="1" applyAlignment="1">
      <alignment vertical="center"/>
    </xf>
    <xf numFmtId="0" fontId="44" fillId="0" borderId="0" xfId="0" applyFont="1" applyAlignment="1">
      <alignment vertical="center" wrapText="1"/>
    </xf>
    <xf numFmtId="164" fontId="0" fillId="6" borderId="0" xfId="50" applyFont="1" applyFill="1" applyAlignment="1">
      <alignment/>
    </xf>
    <xf numFmtId="0" fontId="44" fillId="6" borderId="0" xfId="0" applyFont="1" applyFill="1" applyAlignment="1">
      <alignment vertical="center"/>
    </xf>
    <xf numFmtId="0" fontId="44" fillId="6" borderId="0" xfId="0" applyFont="1" applyFill="1" applyAlignment="1">
      <alignment/>
    </xf>
    <xf numFmtId="0" fontId="6" fillId="0" borderId="11" xfId="0" applyFont="1" applyFill="1" applyBorder="1" applyAlignment="1">
      <alignment horizontal="center" vertical="center"/>
    </xf>
    <xf numFmtId="0" fontId="6" fillId="37" borderId="11" xfId="0" applyFont="1" applyFill="1" applyBorder="1" applyAlignment="1">
      <alignment horizontal="center" vertical="center" wrapText="1"/>
    </xf>
    <xf numFmtId="0" fontId="6" fillId="37" borderId="11" xfId="0" applyFont="1" applyFill="1" applyBorder="1" applyAlignment="1">
      <alignment horizontal="center" vertical="center"/>
    </xf>
    <xf numFmtId="0" fontId="13" fillId="33" borderId="11" xfId="0" applyFont="1" applyFill="1" applyBorder="1" applyAlignment="1">
      <alignment horizontal="center" vertical="center" wrapText="1"/>
    </xf>
    <xf numFmtId="9" fontId="6" fillId="33" borderId="10" xfId="0" applyNumberFormat="1" applyFont="1" applyFill="1" applyBorder="1" applyAlignment="1">
      <alignment horizontal="center" vertical="center"/>
    </xf>
    <xf numFmtId="0" fontId="13" fillId="33" borderId="11" xfId="0" applyFont="1" applyFill="1" applyBorder="1" applyAlignment="1">
      <alignment horizontal="center" vertical="center" wrapText="1"/>
    </xf>
    <xf numFmtId="0" fontId="0" fillId="0" borderId="0" xfId="0" applyAlignment="1">
      <alignment vertical="center" wrapText="1"/>
    </xf>
    <xf numFmtId="0" fontId="13" fillId="33" borderId="11"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49" fontId="3" fillId="34" borderId="11" xfId="0" applyNumberFormat="1" applyFont="1" applyFill="1" applyBorder="1" applyAlignment="1">
      <alignment horizontal="center" vertical="center" wrapText="1"/>
    </xf>
    <xf numFmtId="49" fontId="3" fillId="34" borderId="17" xfId="0" applyNumberFormat="1" applyFont="1" applyFill="1" applyBorder="1" applyAlignment="1">
      <alignment horizontal="center" vertical="center" wrapText="1"/>
    </xf>
    <xf numFmtId="9" fontId="4" fillId="34" borderId="13" xfId="53" applyFont="1" applyFill="1" applyBorder="1" applyAlignment="1">
      <alignment horizontal="center" vertical="center" wrapText="1"/>
    </xf>
    <xf numFmtId="9" fontId="4" fillId="34" borderId="12" xfId="53" applyFont="1" applyFill="1" applyBorder="1" applyAlignment="1">
      <alignment horizontal="center" vertical="center" wrapText="1"/>
    </xf>
    <xf numFmtId="9" fontId="4" fillId="34" borderId="14" xfId="53" applyFont="1" applyFill="1" applyBorder="1" applyAlignment="1">
      <alignment horizontal="center" vertical="center" wrapText="1"/>
    </xf>
    <xf numFmtId="0" fontId="4" fillId="33" borderId="11" xfId="0" applyFont="1" applyFill="1" applyBorder="1" applyAlignment="1">
      <alignment horizontal="center" vertical="center" textRotation="90" wrapText="1"/>
    </xf>
    <xf numFmtId="0" fontId="4" fillId="33" borderId="17" xfId="0" applyFont="1" applyFill="1" applyBorder="1" applyAlignment="1">
      <alignment horizontal="center" vertical="center" textRotation="90" wrapText="1"/>
    </xf>
    <xf numFmtId="0" fontId="4" fillId="34" borderId="11" xfId="0" applyFont="1" applyFill="1" applyBorder="1" applyAlignment="1">
      <alignment horizontal="center" vertical="center" textRotation="90" wrapText="1"/>
    </xf>
    <xf numFmtId="0" fontId="4" fillId="34" borderId="17" xfId="0" applyFont="1" applyFill="1" applyBorder="1" applyAlignment="1">
      <alignment horizontal="center" vertical="center" textRotation="90" wrapText="1"/>
    </xf>
    <xf numFmtId="0" fontId="4" fillId="34" borderId="10" xfId="0" applyFont="1" applyFill="1" applyBorder="1" applyAlignment="1">
      <alignment horizontal="center" vertical="center" textRotation="90" wrapText="1"/>
    </xf>
    <xf numFmtId="0" fontId="4" fillId="36" borderId="13" xfId="0" applyFont="1" applyFill="1" applyBorder="1" applyAlignment="1">
      <alignment horizontal="left" vertical="center"/>
    </xf>
    <xf numFmtId="0" fontId="4" fillId="36" borderId="12" xfId="0" applyFont="1" applyFill="1" applyBorder="1" applyAlignment="1">
      <alignment horizontal="left" vertical="center"/>
    </xf>
    <xf numFmtId="0" fontId="4" fillId="36" borderId="14" xfId="0" applyFont="1" applyFill="1" applyBorder="1" applyAlignment="1">
      <alignment horizontal="left" vertical="center"/>
    </xf>
    <xf numFmtId="0" fontId="4" fillId="37" borderId="11"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5" fillId="37" borderId="11" xfId="0" applyFont="1" applyFill="1" applyBorder="1" applyAlignment="1">
      <alignment horizontal="center" vertical="center" wrapText="1"/>
    </xf>
    <xf numFmtId="0" fontId="5" fillId="37" borderId="16" xfId="0" applyFont="1" applyFill="1" applyBorder="1" applyAlignment="1">
      <alignment horizontal="center" vertical="center" wrapText="1"/>
    </xf>
    <xf numFmtId="49" fontId="5" fillId="7" borderId="11" xfId="0" applyNumberFormat="1" applyFont="1" applyFill="1" applyBorder="1" applyAlignment="1">
      <alignment horizontal="center" vertical="center" wrapText="1"/>
    </xf>
    <xf numFmtId="49" fontId="5" fillId="7" borderId="16"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4" fillId="34" borderId="10" xfId="0" applyFont="1" applyFill="1" applyBorder="1" applyAlignment="1">
      <alignment horizontal="center" vertical="center" wrapText="1"/>
    </xf>
    <xf numFmtId="9" fontId="5" fillId="36" borderId="11" xfId="0" applyNumberFormat="1" applyFont="1" applyFill="1" applyBorder="1" applyAlignment="1">
      <alignment horizontal="center" vertical="center"/>
    </xf>
    <xf numFmtId="9" fontId="5" fillId="36" borderId="16" xfId="0" applyNumberFormat="1" applyFont="1" applyFill="1" applyBorder="1" applyAlignment="1">
      <alignment horizontal="center" vertical="center"/>
    </xf>
    <xf numFmtId="9" fontId="5" fillId="36" borderId="17" xfId="0" applyNumberFormat="1" applyFont="1" applyFill="1" applyBorder="1" applyAlignment="1">
      <alignment horizontal="center" vertical="center"/>
    </xf>
    <xf numFmtId="0" fontId="5" fillId="0" borderId="11" xfId="0" applyFont="1" applyBorder="1" applyAlignment="1">
      <alignment horizontal="center" vertical="top" wrapText="1"/>
    </xf>
    <xf numFmtId="0" fontId="5" fillId="0" borderId="17" xfId="0" applyFont="1" applyBorder="1" applyAlignment="1">
      <alignment horizontal="center" vertical="top" wrapText="1"/>
    </xf>
    <xf numFmtId="0" fontId="0" fillId="0" borderId="11" xfId="0" applyBorder="1" applyAlignment="1">
      <alignment horizontal="center" vertical="center" wrapText="1"/>
    </xf>
    <xf numFmtId="0" fontId="0" fillId="0" borderId="17" xfId="0" applyBorder="1" applyAlignment="1">
      <alignment horizontal="center" vertical="center" wrapText="1"/>
    </xf>
    <xf numFmtId="0" fontId="5" fillId="0" borderId="16" xfId="0" applyFont="1" applyBorder="1" applyAlignment="1">
      <alignment horizontal="center" vertical="top" wrapText="1"/>
    </xf>
    <xf numFmtId="3" fontId="6" fillId="37" borderId="11" xfId="0" applyNumberFormat="1" applyFont="1" applyFill="1" applyBorder="1" applyAlignment="1">
      <alignment horizontal="center" vertical="center" wrapText="1"/>
    </xf>
    <xf numFmtId="3" fontId="6" fillId="37" borderId="16" xfId="0" applyNumberFormat="1" applyFont="1" applyFill="1" applyBorder="1" applyAlignment="1">
      <alignment horizontal="center" vertical="center"/>
    </xf>
    <xf numFmtId="0" fontId="13" fillId="33" borderId="11"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6" fillId="37" borderId="11" xfId="0" applyFont="1" applyFill="1" applyBorder="1" applyAlignment="1">
      <alignment horizontal="center" vertical="center"/>
    </xf>
    <xf numFmtId="0" fontId="6" fillId="37" borderId="16" xfId="0" applyFont="1" applyFill="1" applyBorder="1" applyAlignment="1">
      <alignment horizontal="center" vertical="center"/>
    </xf>
    <xf numFmtId="0" fontId="5" fillId="0" borderId="10" xfId="0" applyFont="1" applyFill="1" applyBorder="1" applyAlignment="1">
      <alignment horizontal="center" vertical="center"/>
    </xf>
    <xf numFmtId="3" fontId="6" fillId="0" borderId="10" xfId="0" applyNumberFormat="1" applyFont="1" applyFill="1" applyBorder="1" applyAlignment="1">
      <alignment horizontal="center" vertical="center" wrapText="1"/>
    </xf>
    <xf numFmtId="0" fontId="45" fillId="37" borderId="10" xfId="0" applyFont="1" applyFill="1" applyBorder="1" applyAlignment="1">
      <alignment horizontal="center" vertical="center" wrapText="1"/>
    </xf>
    <xf numFmtId="49" fontId="5" fillId="7" borderId="10" xfId="0" applyNumberFormat="1" applyFont="1" applyFill="1" applyBorder="1" applyAlignment="1">
      <alignment horizontal="center" vertical="center" wrapText="1"/>
    </xf>
    <xf numFmtId="0" fontId="5" fillId="37" borderId="1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6" xfId="0" applyFont="1" applyFill="1" applyBorder="1" applyAlignment="1">
      <alignment horizontal="center" vertical="center" wrapText="1"/>
    </xf>
    <xf numFmtId="49" fontId="5" fillId="7" borderId="17" xfId="0" applyNumberFormat="1" applyFont="1" applyFill="1" applyBorder="1" applyAlignment="1">
      <alignment horizontal="center" vertical="center" wrapText="1"/>
    </xf>
    <xf numFmtId="3" fontId="6" fillId="37" borderId="17" xfId="0" applyNumberFormat="1" applyFont="1" applyFill="1" applyBorder="1" applyAlignment="1">
      <alignment horizontal="center" vertical="center" wrapText="1"/>
    </xf>
    <xf numFmtId="0" fontId="6" fillId="37" borderId="17" xfId="0" applyFont="1" applyFill="1" applyBorder="1" applyAlignment="1">
      <alignment horizontal="center" vertical="center"/>
    </xf>
    <xf numFmtId="0" fontId="4" fillId="0" borderId="17"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37" borderId="17" xfId="0" applyFont="1" applyFill="1" applyBorder="1" applyAlignment="1">
      <alignment horizontal="center" vertical="center" wrapText="1"/>
    </xf>
    <xf numFmtId="3" fontId="6" fillId="37" borderId="16" xfId="0" applyNumberFormat="1"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0" fillId="0" borderId="16" xfId="0" applyBorder="1" applyAlignment="1">
      <alignment horizontal="center" vertical="center" wrapText="1"/>
    </xf>
    <xf numFmtId="49" fontId="45" fillId="7" borderId="11" xfId="0" applyNumberFormat="1" applyFont="1" applyFill="1" applyBorder="1" applyAlignment="1">
      <alignment horizontal="center" vertical="center" wrapText="1"/>
    </xf>
    <xf numFmtId="49" fontId="45" fillId="7" borderId="16" xfId="0" applyNumberFormat="1" applyFont="1" applyFill="1" applyBorder="1" applyAlignment="1">
      <alignment horizontal="center" vertical="center" wrapText="1"/>
    </xf>
    <xf numFmtId="0" fontId="13" fillId="0" borderId="11" xfId="0" applyFont="1" applyBorder="1" applyAlignment="1">
      <alignment horizontal="center" vertical="top" wrapText="1"/>
    </xf>
    <xf numFmtId="0" fontId="0" fillId="0" borderId="17" xfId="0" applyBorder="1" applyAlignment="1">
      <alignment horizontal="center" vertical="center"/>
    </xf>
    <xf numFmtId="0" fontId="6" fillId="37" borderId="11" xfId="0" applyFont="1" applyFill="1" applyBorder="1" applyAlignment="1">
      <alignment horizontal="center" vertical="center" wrapText="1"/>
    </xf>
    <xf numFmtId="0" fontId="6" fillId="0" borderId="10" xfId="0" applyFont="1" applyFill="1" applyBorder="1" applyAlignment="1">
      <alignment horizontal="center" vertical="center"/>
    </xf>
    <xf numFmtId="0" fontId="5" fillId="36" borderId="13" xfId="0" applyFont="1" applyFill="1" applyBorder="1" applyAlignment="1">
      <alignment horizontal="center" vertical="center"/>
    </xf>
    <xf numFmtId="0" fontId="5" fillId="36" borderId="12" xfId="0" applyFont="1" applyFill="1" applyBorder="1" applyAlignment="1">
      <alignment horizontal="center" vertical="center"/>
    </xf>
    <xf numFmtId="0" fontId="5" fillId="36" borderId="14" xfId="0" applyFont="1" applyFill="1" applyBorder="1" applyAlignment="1">
      <alignment horizontal="center" vertical="center"/>
    </xf>
    <xf numFmtId="0" fontId="6" fillId="0" borderId="11" xfId="0" applyFont="1" applyBorder="1" applyAlignment="1">
      <alignment horizontal="center" vertical="top" wrapText="1"/>
    </xf>
    <xf numFmtId="0" fontId="48" fillId="0" borderId="16" xfId="0" applyFont="1" applyBorder="1" applyAlignment="1">
      <alignment horizontal="center" vertical="top" wrapText="1"/>
    </xf>
    <xf numFmtId="0" fontId="47" fillId="37"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49" fontId="45" fillId="7" borderId="10" xfId="0" applyNumberFormat="1" applyFont="1" applyFill="1" applyBorder="1" applyAlignment="1">
      <alignment horizontal="center" vertical="center" wrapText="1"/>
    </xf>
    <xf numFmtId="9" fontId="45" fillId="0" borderId="10" xfId="0" applyNumberFormat="1" applyFont="1" applyFill="1" applyBorder="1" applyAlignment="1">
      <alignment horizontal="center" vertical="center" wrapText="1"/>
    </xf>
    <xf numFmtId="9" fontId="48" fillId="36" borderId="11" xfId="0" applyNumberFormat="1" applyFont="1" applyFill="1" applyBorder="1" applyAlignment="1">
      <alignment horizontal="center" vertical="center"/>
    </xf>
    <xf numFmtId="9" fontId="48" fillId="36" borderId="16" xfId="0" applyNumberFormat="1" applyFont="1" applyFill="1" applyBorder="1" applyAlignment="1">
      <alignment horizontal="center" vertical="center"/>
    </xf>
    <xf numFmtId="9" fontId="45" fillId="33" borderId="11" xfId="0" applyNumberFormat="1" applyFont="1" applyFill="1" applyBorder="1" applyAlignment="1">
      <alignment horizontal="center" vertical="center" wrapText="1"/>
    </xf>
    <xf numFmtId="0" fontId="45" fillId="33" borderId="16"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6"/>
  <sheetViews>
    <sheetView tabSelected="1" zoomScalePageLayoutView="0" workbookViewId="0" topLeftCell="C31">
      <selection activeCell="L41" sqref="L41"/>
    </sheetView>
  </sheetViews>
  <sheetFormatPr defaultColWidth="11.421875" defaultRowHeight="15"/>
  <cols>
    <col min="1" max="1" width="16.140625" style="2" customWidth="1"/>
    <col min="2" max="2" width="16.00390625" style="2" customWidth="1"/>
    <col min="3" max="3" width="21.8515625" style="2" customWidth="1"/>
    <col min="4" max="4" width="10.8515625" style="33" customWidth="1"/>
    <col min="5" max="5" width="18.57421875" style="2" customWidth="1"/>
    <col min="6" max="10" width="6.421875" style="2" customWidth="1"/>
    <col min="11" max="11" width="7.140625" style="2" customWidth="1"/>
    <col min="12" max="12" width="23.00390625" style="55" customWidth="1"/>
    <col min="13" max="13" width="8.140625" style="2" customWidth="1"/>
    <col min="14" max="14" width="20.57421875" style="2" customWidth="1"/>
    <col min="15" max="15" width="5.421875" style="31" customWidth="1"/>
    <col min="16" max="16" width="5.7109375" style="31" customWidth="1"/>
    <col min="17" max="17" width="5.421875" style="31" customWidth="1"/>
    <col min="18" max="18" width="5.57421875" style="31" customWidth="1"/>
    <col min="19" max="19" width="7.8515625" style="2" customWidth="1"/>
    <col min="20" max="20" width="7.00390625" style="2" customWidth="1"/>
    <col min="21" max="21" width="6.7109375" style="2" customWidth="1"/>
    <col min="22" max="22" width="6.421875" style="2" customWidth="1"/>
    <col min="23" max="23" width="61.8515625" style="2" customWidth="1"/>
    <col min="24" max="24" width="43.28125" style="2" hidden="1" customWidth="1"/>
    <col min="25" max="16384" width="11.421875" style="2" customWidth="1"/>
  </cols>
  <sheetData>
    <row r="1" spans="1:23" ht="18.75">
      <c r="A1" s="75" t="s">
        <v>0</v>
      </c>
      <c r="B1" s="75"/>
      <c r="C1" s="75"/>
      <c r="D1" s="75"/>
      <c r="E1" s="75"/>
      <c r="F1" s="75"/>
      <c r="G1" s="75"/>
      <c r="H1" s="75"/>
      <c r="I1" s="75"/>
      <c r="J1" s="75"/>
      <c r="K1" s="75"/>
      <c r="L1" s="75"/>
      <c r="M1" s="75"/>
      <c r="N1" s="75"/>
      <c r="O1" s="75"/>
      <c r="P1" s="75"/>
      <c r="Q1" s="75"/>
      <c r="R1" s="75"/>
      <c r="S1" s="75"/>
      <c r="T1" s="75"/>
      <c r="U1" s="75"/>
      <c r="V1" s="75"/>
      <c r="W1" s="1"/>
    </row>
    <row r="2" spans="1:23" ht="18.75">
      <c r="A2" s="75" t="s">
        <v>105</v>
      </c>
      <c r="B2" s="75"/>
      <c r="C2" s="75"/>
      <c r="D2" s="75"/>
      <c r="E2" s="75"/>
      <c r="F2" s="75"/>
      <c r="G2" s="75"/>
      <c r="H2" s="75"/>
      <c r="I2" s="75"/>
      <c r="J2" s="75"/>
      <c r="K2" s="75"/>
      <c r="L2" s="75"/>
      <c r="M2" s="75"/>
      <c r="N2" s="75"/>
      <c r="O2" s="75"/>
      <c r="P2" s="75"/>
      <c r="Q2" s="75"/>
      <c r="R2" s="75"/>
      <c r="S2" s="75"/>
      <c r="T2" s="75"/>
      <c r="U2" s="75"/>
      <c r="V2" s="75"/>
      <c r="W2" s="1"/>
    </row>
    <row r="3" spans="1:23" ht="18.75">
      <c r="A3" s="75"/>
      <c r="B3" s="75"/>
      <c r="C3" s="75"/>
      <c r="D3" s="75"/>
      <c r="E3" s="75"/>
      <c r="F3" s="75"/>
      <c r="G3" s="75"/>
      <c r="H3" s="75"/>
      <c r="I3" s="75"/>
      <c r="J3" s="75"/>
      <c r="K3" s="75"/>
      <c r="L3" s="75"/>
      <c r="M3" s="75"/>
      <c r="N3" s="75"/>
      <c r="O3" s="75"/>
      <c r="P3" s="75"/>
      <c r="Q3" s="75"/>
      <c r="R3" s="75"/>
      <c r="S3" s="75"/>
      <c r="T3" s="75"/>
      <c r="U3" s="75"/>
      <c r="V3" s="75"/>
      <c r="W3" s="1"/>
    </row>
    <row r="4" spans="1:23" ht="18.75">
      <c r="A4" s="76" t="s">
        <v>64</v>
      </c>
      <c r="B4" s="76"/>
      <c r="C4" s="76"/>
      <c r="D4" s="76"/>
      <c r="E4" s="76"/>
      <c r="F4" s="76"/>
      <c r="G4" s="76"/>
      <c r="H4" s="76"/>
      <c r="I4" s="76"/>
      <c r="J4" s="76"/>
      <c r="K4" s="76"/>
      <c r="L4" s="76"/>
      <c r="M4" s="76"/>
      <c r="N4" s="3"/>
      <c r="O4" s="4"/>
      <c r="P4" s="4"/>
      <c r="Q4" s="4"/>
      <c r="R4" s="4"/>
      <c r="S4" s="3"/>
      <c r="T4" s="3"/>
      <c r="U4" s="3"/>
      <c r="V4" s="3"/>
      <c r="W4" s="3"/>
    </row>
    <row r="5" ht="15"/>
    <row r="6" spans="1:23" ht="26.25" customHeight="1">
      <c r="A6" s="77" t="s">
        <v>1</v>
      </c>
      <c r="B6" s="77" t="s">
        <v>2</v>
      </c>
      <c r="C6" s="77" t="s">
        <v>3</v>
      </c>
      <c r="D6" s="79" t="s">
        <v>4</v>
      </c>
      <c r="E6" s="77" t="s">
        <v>5</v>
      </c>
      <c r="F6" s="88" t="s">
        <v>106</v>
      </c>
      <c r="G6" s="99" t="s">
        <v>6</v>
      </c>
      <c r="H6" s="100"/>
      <c r="I6" s="100"/>
      <c r="J6" s="101"/>
      <c r="K6" s="88" t="s">
        <v>7</v>
      </c>
      <c r="L6" s="102" t="s">
        <v>8</v>
      </c>
      <c r="M6" s="88" t="s">
        <v>9</v>
      </c>
      <c r="N6" s="77" t="s">
        <v>10</v>
      </c>
      <c r="O6" s="81" t="s">
        <v>11</v>
      </c>
      <c r="P6" s="82"/>
      <c r="Q6" s="82"/>
      <c r="R6" s="83"/>
      <c r="S6" s="84" t="s">
        <v>12</v>
      </c>
      <c r="T6" s="86" t="s">
        <v>13</v>
      </c>
      <c r="U6" s="86" t="s">
        <v>14</v>
      </c>
      <c r="V6" s="88" t="s">
        <v>15</v>
      </c>
      <c r="W6" s="98" t="s">
        <v>16</v>
      </c>
    </row>
    <row r="7" spans="1:23" ht="59.25" customHeight="1">
      <c r="A7" s="78"/>
      <c r="B7" s="78"/>
      <c r="C7" s="77"/>
      <c r="D7" s="80"/>
      <c r="E7" s="77"/>
      <c r="F7" s="88"/>
      <c r="G7" s="5" t="s">
        <v>17</v>
      </c>
      <c r="H7" s="5" t="s">
        <v>18</v>
      </c>
      <c r="I7" s="5" t="s">
        <v>19</v>
      </c>
      <c r="J7" s="5" t="s">
        <v>20</v>
      </c>
      <c r="K7" s="88"/>
      <c r="L7" s="102"/>
      <c r="M7" s="88"/>
      <c r="N7" s="77"/>
      <c r="O7" s="6" t="s">
        <v>17</v>
      </c>
      <c r="P7" s="6" t="s">
        <v>18</v>
      </c>
      <c r="Q7" s="6" t="s">
        <v>19</v>
      </c>
      <c r="R7" s="6" t="s">
        <v>20</v>
      </c>
      <c r="S7" s="85"/>
      <c r="T7" s="87"/>
      <c r="U7" s="87"/>
      <c r="V7" s="88"/>
      <c r="W7" s="98"/>
    </row>
    <row r="8" spans="1:24" ht="49.5" customHeight="1">
      <c r="A8" s="92" t="s">
        <v>21</v>
      </c>
      <c r="B8" s="94" t="s">
        <v>22</v>
      </c>
      <c r="C8" s="94" t="s">
        <v>23</v>
      </c>
      <c r="D8" s="96" t="s">
        <v>54</v>
      </c>
      <c r="E8" s="94" t="s">
        <v>24</v>
      </c>
      <c r="F8" s="111" t="s">
        <v>108</v>
      </c>
      <c r="G8" s="113" t="s">
        <v>115</v>
      </c>
      <c r="H8" s="113" t="s">
        <v>116</v>
      </c>
      <c r="I8" s="113" t="s">
        <v>117</v>
      </c>
      <c r="J8" s="113" t="s">
        <v>118</v>
      </c>
      <c r="K8" s="115">
        <v>6</v>
      </c>
      <c r="L8" s="22" t="s">
        <v>25</v>
      </c>
      <c r="M8" s="7">
        <v>0.5</v>
      </c>
      <c r="N8" s="8" t="s">
        <v>75</v>
      </c>
      <c r="O8" s="9">
        <v>0.25</v>
      </c>
      <c r="P8" s="9">
        <v>0.5</v>
      </c>
      <c r="Q8" s="9">
        <v>0.75</v>
      </c>
      <c r="R8" s="9">
        <v>1</v>
      </c>
      <c r="S8" s="10">
        <v>1</v>
      </c>
      <c r="T8" s="11">
        <f>+S8*M8</f>
        <v>0.5</v>
      </c>
      <c r="U8" s="103"/>
      <c r="V8" s="103"/>
      <c r="W8" s="108" t="s">
        <v>119</v>
      </c>
      <c r="X8" s="106" t="s">
        <v>65</v>
      </c>
    </row>
    <row r="9" spans="1:24" ht="53.25" customHeight="1">
      <c r="A9" s="93"/>
      <c r="B9" s="95"/>
      <c r="C9" s="95"/>
      <c r="D9" s="97"/>
      <c r="E9" s="95"/>
      <c r="F9" s="112"/>
      <c r="G9" s="114"/>
      <c r="H9" s="114"/>
      <c r="I9" s="114"/>
      <c r="J9" s="114"/>
      <c r="K9" s="116"/>
      <c r="L9" s="50" t="s">
        <v>114</v>
      </c>
      <c r="M9" s="43">
        <v>0.5</v>
      </c>
      <c r="N9" s="44" t="s">
        <v>76</v>
      </c>
      <c r="O9" s="45">
        <v>0.2</v>
      </c>
      <c r="P9" s="45">
        <v>0.4</v>
      </c>
      <c r="Q9" s="45">
        <v>0.7</v>
      </c>
      <c r="R9" s="45">
        <v>1</v>
      </c>
      <c r="S9" s="10">
        <v>1</v>
      </c>
      <c r="T9" s="11">
        <f>+S9*M9</f>
        <v>0.5</v>
      </c>
      <c r="U9" s="104"/>
      <c r="V9" s="104"/>
      <c r="W9" s="109"/>
      <c r="X9" s="110"/>
    </row>
    <row r="10" spans="1:23" ht="46.5" customHeight="1">
      <c r="A10" s="89" t="s">
        <v>26</v>
      </c>
      <c r="B10" s="90"/>
      <c r="C10" s="90"/>
      <c r="D10" s="90"/>
      <c r="E10" s="90"/>
      <c r="F10" s="90"/>
      <c r="G10" s="90"/>
      <c r="H10" s="90"/>
      <c r="I10" s="90"/>
      <c r="J10" s="90"/>
      <c r="K10" s="90"/>
      <c r="L10" s="91"/>
      <c r="M10" s="12">
        <f>SUM(M8:M9)</f>
        <v>1</v>
      </c>
      <c r="N10" s="13"/>
      <c r="O10" s="14"/>
      <c r="P10" s="14"/>
      <c r="Q10" s="14"/>
      <c r="R10" s="14"/>
      <c r="S10" s="12"/>
      <c r="T10" s="12">
        <f>SUM(T8:T9)</f>
        <v>1</v>
      </c>
      <c r="U10" s="12">
        <v>0.1</v>
      </c>
      <c r="V10" s="12">
        <f>+U10*T10</f>
        <v>0.1</v>
      </c>
      <c r="W10" s="15"/>
    </row>
    <row r="11" spans="1:23" ht="51">
      <c r="A11" s="122" t="s">
        <v>21</v>
      </c>
      <c r="B11" s="121" t="s">
        <v>22</v>
      </c>
      <c r="C11" s="121" t="s">
        <v>70</v>
      </c>
      <c r="D11" s="120" t="s">
        <v>55</v>
      </c>
      <c r="E11" s="119" t="s">
        <v>71</v>
      </c>
      <c r="F11" s="118">
        <v>2</v>
      </c>
      <c r="G11" s="72">
        <v>3</v>
      </c>
      <c r="H11" s="72">
        <v>4</v>
      </c>
      <c r="I11" s="72">
        <v>5</v>
      </c>
      <c r="J11" s="72">
        <v>5</v>
      </c>
      <c r="K11" s="117">
        <v>60</v>
      </c>
      <c r="L11" s="50" t="s">
        <v>72</v>
      </c>
      <c r="M11" s="43">
        <v>0.1</v>
      </c>
      <c r="N11" s="44" t="s">
        <v>75</v>
      </c>
      <c r="O11" s="45">
        <v>0.25</v>
      </c>
      <c r="P11" s="45">
        <v>0.5</v>
      </c>
      <c r="Q11" s="45">
        <v>0.75</v>
      </c>
      <c r="R11" s="45">
        <v>1</v>
      </c>
      <c r="S11" s="10">
        <v>1</v>
      </c>
      <c r="T11" s="11">
        <f>+S11*M11</f>
        <v>0.1</v>
      </c>
      <c r="U11" s="35"/>
      <c r="V11" s="35"/>
      <c r="W11" s="123" t="s">
        <v>120</v>
      </c>
    </row>
    <row r="12" spans="1:23" ht="51">
      <c r="A12" s="122"/>
      <c r="B12" s="121"/>
      <c r="C12" s="121"/>
      <c r="D12" s="120"/>
      <c r="E12" s="119"/>
      <c r="F12" s="118"/>
      <c r="G12" s="73"/>
      <c r="H12" s="73"/>
      <c r="I12" s="73"/>
      <c r="J12" s="73"/>
      <c r="K12" s="117"/>
      <c r="L12" s="50" t="s">
        <v>73</v>
      </c>
      <c r="M12" s="43">
        <v>0.4</v>
      </c>
      <c r="N12" s="44" t="s">
        <v>75</v>
      </c>
      <c r="O12" s="45">
        <v>0.25</v>
      </c>
      <c r="P12" s="45">
        <v>0.5</v>
      </c>
      <c r="Q12" s="45">
        <v>0.75</v>
      </c>
      <c r="R12" s="45">
        <v>1</v>
      </c>
      <c r="S12" s="10">
        <v>1</v>
      </c>
      <c r="T12" s="11">
        <f>+S12*M12</f>
        <v>0.4</v>
      </c>
      <c r="U12" s="48"/>
      <c r="V12" s="48"/>
      <c r="W12" s="124"/>
    </row>
    <row r="13" spans="1:23" ht="89.25">
      <c r="A13" s="122"/>
      <c r="B13" s="121"/>
      <c r="C13" s="121"/>
      <c r="D13" s="120"/>
      <c r="E13" s="119"/>
      <c r="F13" s="118"/>
      <c r="G13" s="74"/>
      <c r="H13" s="74"/>
      <c r="I13" s="74"/>
      <c r="J13" s="74"/>
      <c r="K13" s="117"/>
      <c r="L13" s="50" t="s">
        <v>74</v>
      </c>
      <c r="M13" s="43">
        <v>0.5</v>
      </c>
      <c r="N13" s="44" t="s">
        <v>77</v>
      </c>
      <c r="O13" s="45">
        <v>0.25</v>
      </c>
      <c r="P13" s="45">
        <v>0.5</v>
      </c>
      <c r="Q13" s="45">
        <v>0.75</v>
      </c>
      <c r="R13" s="45">
        <v>1</v>
      </c>
      <c r="S13" s="10">
        <v>1</v>
      </c>
      <c r="T13" s="11">
        <f>+S13*M13</f>
        <v>0.5</v>
      </c>
      <c r="U13" s="48"/>
      <c r="V13" s="48"/>
      <c r="W13" s="125"/>
    </row>
    <row r="14" spans="1:23" ht="46.5" customHeight="1">
      <c r="A14" s="89" t="s">
        <v>26</v>
      </c>
      <c r="B14" s="90"/>
      <c r="C14" s="90"/>
      <c r="D14" s="90"/>
      <c r="E14" s="90"/>
      <c r="F14" s="90"/>
      <c r="G14" s="90"/>
      <c r="H14" s="90"/>
      <c r="I14" s="90"/>
      <c r="J14" s="90"/>
      <c r="K14" s="90"/>
      <c r="L14" s="91"/>
      <c r="M14" s="12">
        <f>SUM(M11:M13)</f>
        <v>1</v>
      </c>
      <c r="N14" s="13"/>
      <c r="O14" s="14"/>
      <c r="P14" s="14"/>
      <c r="Q14" s="14"/>
      <c r="R14" s="14"/>
      <c r="S14" s="12"/>
      <c r="T14" s="12">
        <f>SUM(T11:T13)</f>
        <v>1</v>
      </c>
      <c r="U14" s="12">
        <v>0.09</v>
      </c>
      <c r="V14" s="12">
        <f>+U14*T14</f>
        <v>0.09</v>
      </c>
      <c r="W14" s="15"/>
    </row>
    <row r="15" spans="1:24" ht="63" customHeight="1">
      <c r="A15" s="126" t="s">
        <v>21</v>
      </c>
      <c r="B15" s="128" t="s">
        <v>22</v>
      </c>
      <c r="C15" s="128" t="s">
        <v>27</v>
      </c>
      <c r="D15" s="96" t="s">
        <v>56</v>
      </c>
      <c r="E15" s="94" t="s">
        <v>28</v>
      </c>
      <c r="F15" s="111">
        <v>51</v>
      </c>
      <c r="G15" s="113">
        <v>12</v>
      </c>
      <c r="H15" s="113">
        <f>16+26</f>
        <v>42</v>
      </c>
      <c r="I15" s="113">
        <v>66</v>
      </c>
      <c r="J15" s="113">
        <v>111</v>
      </c>
      <c r="K15" s="115">
        <v>173</v>
      </c>
      <c r="L15" s="22" t="s">
        <v>66</v>
      </c>
      <c r="M15" s="7">
        <v>0.8</v>
      </c>
      <c r="N15" s="8" t="s">
        <v>75</v>
      </c>
      <c r="O15" s="9">
        <v>0</v>
      </c>
      <c r="P15" s="9">
        <v>0.25</v>
      </c>
      <c r="Q15" s="9">
        <v>0.5</v>
      </c>
      <c r="R15" s="9">
        <v>1</v>
      </c>
      <c r="S15" s="10">
        <v>1</v>
      </c>
      <c r="T15" s="11">
        <f>+S15*M15</f>
        <v>0.8</v>
      </c>
      <c r="U15" s="103"/>
      <c r="V15" s="103"/>
      <c r="W15" s="108" t="s">
        <v>122</v>
      </c>
      <c r="X15" s="106" t="s">
        <v>110</v>
      </c>
    </row>
    <row r="16" spans="1:24" ht="59.25" customHeight="1">
      <c r="A16" s="133"/>
      <c r="B16" s="134"/>
      <c r="C16" s="134"/>
      <c r="D16" s="130"/>
      <c r="E16" s="135"/>
      <c r="F16" s="131"/>
      <c r="G16" s="114"/>
      <c r="H16" s="114"/>
      <c r="I16" s="114"/>
      <c r="J16" s="114"/>
      <c r="K16" s="132"/>
      <c r="L16" s="50" t="s">
        <v>30</v>
      </c>
      <c r="M16" s="43">
        <v>0.2</v>
      </c>
      <c r="N16" s="44" t="s">
        <v>76</v>
      </c>
      <c r="O16" s="45">
        <v>0</v>
      </c>
      <c r="P16" s="45">
        <v>0.25</v>
      </c>
      <c r="Q16" s="45">
        <v>0.5</v>
      </c>
      <c r="R16" s="45">
        <v>1</v>
      </c>
      <c r="S16" s="10">
        <v>1</v>
      </c>
      <c r="T16" s="11">
        <f>+S16*M16</f>
        <v>0.2</v>
      </c>
      <c r="U16" s="105"/>
      <c r="V16" s="105"/>
      <c r="W16" s="109"/>
      <c r="X16" s="107"/>
    </row>
    <row r="17" spans="1:23" ht="46.5" customHeight="1">
      <c r="A17" s="89" t="s">
        <v>26</v>
      </c>
      <c r="B17" s="90"/>
      <c r="C17" s="90"/>
      <c r="D17" s="90"/>
      <c r="E17" s="90"/>
      <c r="F17" s="90"/>
      <c r="G17" s="90"/>
      <c r="H17" s="90"/>
      <c r="I17" s="90"/>
      <c r="J17" s="90"/>
      <c r="K17" s="90"/>
      <c r="L17" s="91"/>
      <c r="M17" s="12">
        <f>SUM(M15:M16)</f>
        <v>1</v>
      </c>
      <c r="N17" s="13"/>
      <c r="O17" s="14"/>
      <c r="P17" s="14"/>
      <c r="Q17" s="14"/>
      <c r="R17" s="14"/>
      <c r="S17" s="12"/>
      <c r="T17" s="12">
        <f>SUM(T15:T16)</f>
        <v>1</v>
      </c>
      <c r="U17" s="12">
        <v>0.1</v>
      </c>
      <c r="V17" s="12">
        <f>+U17*T17</f>
        <v>0.1</v>
      </c>
      <c r="W17" s="15"/>
    </row>
    <row r="18" spans="1:24" ht="60" customHeight="1">
      <c r="A18" s="126" t="s">
        <v>21</v>
      </c>
      <c r="B18" s="128" t="s">
        <v>22</v>
      </c>
      <c r="C18" s="128" t="s">
        <v>31</v>
      </c>
      <c r="D18" s="96" t="s">
        <v>57</v>
      </c>
      <c r="E18" s="94" t="s">
        <v>32</v>
      </c>
      <c r="F18" s="111">
        <v>60</v>
      </c>
      <c r="G18" s="113">
        <v>4</v>
      </c>
      <c r="H18" s="113">
        <f>9+16</f>
        <v>25</v>
      </c>
      <c r="I18" s="113">
        <v>33</v>
      </c>
      <c r="J18" s="113">
        <v>71</v>
      </c>
      <c r="K18" s="115">
        <v>211</v>
      </c>
      <c r="L18" s="22" t="s">
        <v>29</v>
      </c>
      <c r="M18" s="7">
        <v>0.2</v>
      </c>
      <c r="N18" s="8" t="s">
        <v>75</v>
      </c>
      <c r="O18" s="9">
        <v>0</v>
      </c>
      <c r="P18" s="9">
        <v>0.25</v>
      </c>
      <c r="Q18" s="9">
        <v>0.5</v>
      </c>
      <c r="R18" s="9">
        <v>1</v>
      </c>
      <c r="S18" s="10">
        <v>1</v>
      </c>
      <c r="T18" s="11">
        <f>+S18*M18</f>
        <v>0.2</v>
      </c>
      <c r="U18" s="103"/>
      <c r="V18" s="103"/>
      <c r="W18" s="108" t="s">
        <v>121</v>
      </c>
      <c r="X18" s="106" t="s">
        <v>111</v>
      </c>
    </row>
    <row r="19" spans="1:24" ht="60" customHeight="1">
      <c r="A19" s="127"/>
      <c r="B19" s="129"/>
      <c r="C19" s="129"/>
      <c r="D19" s="97"/>
      <c r="E19" s="95"/>
      <c r="F19" s="136"/>
      <c r="G19" s="137"/>
      <c r="H19" s="137"/>
      <c r="I19" s="137"/>
      <c r="J19" s="137"/>
      <c r="K19" s="116"/>
      <c r="L19" s="22" t="s">
        <v>67</v>
      </c>
      <c r="M19" s="7">
        <v>0.7</v>
      </c>
      <c r="N19" s="8" t="s">
        <v>75</v>
      </c>
      <c r="O19" s="9">
        <v>0.1</v>
      </c>
      <c r="P19" s="9">
        <v>0.2</v>
      </c>
      <c r="Q19" s="9">
        <v>0.7</v>
      </c>
      <c r="R19" s="9">
        <v>1</v>
      </c>
      <c r="S19" s="10">
        <v>1</v>
      </c>
      <c r="T19" s="11">
        <f>+S19*M19</f>
        <v>0.7</v>
      </c>
      <c r="U19" s="104"/>
      <c r="V19" s="104"/>
      <c r="W19" s="138"/>
      <c r="X19" s="110"/>
    </row>
    <row r="20" spans="1:24" ht="51.75" customHeight="1">
      <c r="A20" s="127"/>
      <c r="B20" s="129"/>
      <c r="C20" s="129"/>
      <c r="D20" s="130"/>
      <c r="E20" s="95"/>
      <c r="F20" s="112"/>
      <c r="G20" s="114"/>
      <c r="H20" s="114"/>
      <c r="I20" s="114"/>
      <c r="J20" s="114"/>
      <c r="K20" s="116"/>
      <c r="L20" s="50" t="s">
        <v>30</v>
      </c>
      <c r="M20" s="43">
        <v>0.1</v>
      </c>
      <c r="N20" s="44" t="s">
        <v>76</v>
      </c>
      <c r="O20" s="45">
        <v>0</v>
      </c>
      <c r="P20" s="45">
        <v>0.3</v>
      </c>
      <c r="Q20" s="45">
        <v>0.6</v>
      </c>
      <c r="R20" s="45">
        <v>1</v>
      </c>
      <c r="S20" s="10">
        <v>1</v>
      </c>
      <c r="T20" s="11">
        <f>+S20*M20</f>
        <v>0.1</v>
      </c>
      <c r="U20" s="104"/>
      <c r="V20" s="104"/>
      <c r="W20" s="109"/>
      <c r="X20" s="107"/>
    </row>
    <row r="21" spans="1:23" ht="43.5" customHeight="1">
      <c r="A21" s="89" t="s">
        <v>26</v>
      </c>
      <c r="B21" s="90"/>
      <c r="C21" s="90"/>
      <c r="D21" s="90"/>
      <c r="E21" s="90"/>
      <c r="F21" s="90"/>
      <c r="G21" s="90"/>
      <c r="H21" s="90"/>
      <c r="I21" s="90"/>
      <c r="J21" s="90"/>
      <c r="K21" s="90"/>
      <c r="L21" s="91"/>
      <c r="M21" s="12">
        <f>SUM(M18:M20)</f>
        <v>0.9999999999999999</v>
      </c>
      <c r="N21" s="13"/>
      <c r="O21" s="14"/>
      <c r="P21" s="14"/>
      <c r="Q21" s="14"/>
      <c r="R21" s="14"/>
      <c r="S21" s="12"/>
      <c r="T21" s="12">
        <f>SUM(T18:T20)</f>
        <v>0.9999999999999999</v>
      </c>
      <c r="U21" s="12">
        <v>0.1</v>
      </c>
      <c r="V21" s="12">
        <f>+U21*T21</f>
        <v>0.09999999999999999</v>
      </c>
      <c r="W21" s="15"/>
    </row>
    <row r="22" spans="1:24" ht="61.5" customHeight="1">
      <c r="A22" s="126" t="s">
        <v>21</v>
      </c>
      <c r="B22" s="128" t="s">
        <v>22</v>
      </c>
      <c r="C22" s="128" t="s">
        <v>33</v>
      </c>
      <c r="D22" s="96" t="s">
        <v>58</v>
      </c>
      <c r="E22" s="94" t="s">
        <v>34</v>
      </c>
      <c r="F22" s="111">
        <v>100</v>
      </c>
      <c r="G22" s="113">
        <v>6</v>
      </c>
      <c r="H22" s="113">
        <f>16+56</f>
        <v>72</v>
      </c>
      <c r="I22" s="113">
        <v>119</v>
      </c>
      <c r="J22" s="113">
        <v>210</v>
      </c>
      <c r="K22" s="115">
        <v>362</v>
      </c>
      <c r="L22" s="51" t="s">
        <v>68</v>
      </c>
      <c r="M22" s="49">
        <v>0.4</v>
      </c>
      <c r="N22" s="44" t="s">
        <v>76</v>
      </c>
      <c r="O22" s="56">
        <v>0.5</v>
      </c>
      <c r="P22" s="49">
        <v>1</v>
      </c>
      <c r="Q22" s="56">
        <v>0</v>
      </c>
      <c r="R22" s="56">
        <v>0</v>
      </c>
      <c r="S22" s="10">
        <v>1</v>
      </c>
      <c r="T22" s="11">
        <f>+S22*M22</f>
        <v>0.4</v>
      </c>
      <c r="U22" s="103"/>
      <c r="V22" s="103"/>
      <c r="W22" s="108" t="s">
        <v>123</v>
      </c>
      <c r="X22" s="106" t="s">
        <v>109</v>
      </c>
    </row>
    <row r="23" spans="1:24" ht="61.5" customHeight="1">
      <c r="A23" s="127"/>
      <c r="B23" s="129"/>
      <c r="C23" s="129"/>
      <c r="D23" s="97"/>
      <c r="E23" s="95"/>
      <c r="F23" s="136"/>
      <c r="G23" s="137"/>
      <c r="H23" s="137"/>
      <c r="I23" s="137"/>
      <c r="J23" s="137"/>
      <c r="K23" s="116"/>
      <c r="L23" s="22" t="s">
        <v>29</v>
      </c>
      <c r="M23" s="7">
        <v>0.3</v>
      </c>
      <c r="N23" s="8" t="s">
        <v>75</v>
      </c>
      <c r="O23" s="9">
        <v>0.15</v>
      </c>
      <c r="P23" s="9">
        <v>0.3</v>
      </c>
      <c r="Q23" s="9">
        <v>0.6</v>
      </c>
      <c r="R23" s="9">
        <v>1</v>
      </c>
      <c r="S23" s="10">
        <v>1</v>
      </c>
      <c r="T23" s="11">
        <f>+S23*M23</f>
        <v>0.3</v>
      </c>
      <c r="U23" s="104"/>
      <c r="V23" s="104"/>
      <c r="W23" s="138"/>
      <c r="X23" s="110"/>
    </row>
    <row r="24" spans="1:24" ht="54.75" customHeight="1">
      <c r="A24" s="127"/>
      <c r="B24" s="129"/>
      <c r="C24" s="129"/>
      <c r="D24" s="130"/>
      <c r="E24" s="95"/>
      <c r="F24" s="112"/>
      <c r="G24" s="114"/>
      <c r="H24" s="114"/>
      <c r="I24" s="114"/>
      <c r="J24" s="114"/>
      <c r="K24" s="116"/>
      <c r="L24" s="50" t="s">
        <v>30</v>
      </c>
      <c r="M24" s="43">
        <v>0.3</v>
      </c>
      <c r="N24" s="44" t="s">
        <v>76</v>
      </c>
      <c r="O24" s="9">
        <v>0.15</v>
      </c>
      <c r="P24" s="9">
        <v>0.3</v>
      </c>
      <c r="Q24" s="9">
        <v>0.6</v>
      </c>
      <c r="R24" s="9">
        <v>1</v>
      </c>
      <c r="S24" s="10">
        <v>1</v>
      </c>
      <c r="T24" s="11">
        <f>+S24*M24</f>
        <v>0.3</v>
      </c>
      <c r="U24" s="104"/>
      <c r="V24" s="104"/>
      <c r="W24" s="109"/>
      <c r="X24" s="107"/>
    </row>
    <row r="25" spans="1:23" ht="43.5" customHeight="1">
      <c r="A25" s="89" t="s">
        <v>26</v>
      </c>
      <c r="B25" s="90"/>
      <c r="C25" s="90"/>
      <c r="D25" s="90"/>
      <c r="E25" s="90"/>
      <c r="F25" s="90"/>
      <c r="G25" s="90"/>
      <c r="H25" s="90"/>
      <c r="I25" s="90"/>
      <c r="J25" s="90"/>
      <c r="K25" s="90"/>
      <c r="L25" s="91"/>
      <c r="M25" s="12">
        <f>SUM(M22:M24)</f>
        <v>1</v>
      </c>
      <c r="N25" s="13"/>
      <c r="O25" s="14"/>
      <c r="P25" s="14"/>
      <c r="Q25" s="14"/>
      <c r="R25" s="14"/>
      <c r="S25" s="12"/>
      <c r="T25" s="12">
        <f>SUM(T22:T24)</f>
        <v>1</v>
      </c>
      <c r="U25" s="12">
        <v>0.1</v>
      </c>
      <c r="V25" s="12">
        <f>+U25*T25</f>
        <v>0.1</v>
      </c>
      <c r="W25" s="15"/>
    </row>
    <row r="26" spans="1:24" ht="65.25" customHeight="1">
      <c r="A26" s="126" t="s">
        <v>21</v>
      </c>
      <c r="B26" s="128" t="s">
        <v>22</v>
      </c>
      <c r="C26" s="128" t="s">
        <v>35</v>
      </c>
      <c r="D26" s="96" t="s">
        <v>59</v>
      </c>
      <c r="E26" s="94" t="s">
        <v>36</v>
      </c>
      <c r="F26" s="111">
        <v>120</v>
      </c>
      <c r="G26" s="113">
        <v>12</v>
      </c>
      <c r="H26" s="113">
        <f>39+39</f>
        <v>78</v>
      </c>
      <c r="I26" s="113">
        <v>198</v>
      </c>
      <c r="J26" s="113">
        <v>306</v>
      </c>
      <c r="K26" s="115">
        <v>79</v>
      </c>
      <c r="L26" s="51" t="s">
        <v>68</v>
      </c>
      <c r="M26" s="56">
        <v>0.4</v>
      </c>
      <c r="N26" s="44" t="s">
        <v>76</v>
      </c>
      <c r="O26" s="56">
        <v>0.5</v>
      </c>
      <c r="P26" s="56">
        <v>1</v>
      </c>
      <c r="Q26" s="56">
        <v>0</v>
      </c>
      <c r="R26" s="56">
        <v>0</v>
      </c>
      <c r="S26" s="10">
        <v>1</v>
      </c>
      <c r="T26" s="11">
        <f>+S26*M26</f>
        <v>0.4</v>
      </c>
      <c r="U26" s="103"/>
      <c r="V26" s="103"/>
      <c r="W26" s="108" t="s">
        <v>124</v>
      </c>
      <c r="X26" s="106" t="s">
        <v>112</v>
      </c>
    </row>
    <row r="27" spans="1:24" ht="65.25" customHeight="1">
      <c r="A27" s="127"/>
      <c r="B27" s="129"/>
      <c r="C27" s="129"/>
      <c r="D27" s="97"/>
      <c r="E27" s="95"/>
      <c r="F27" s="136"/>
      <c r="G27" s="137"/>
      <c r="H27" s="137"/>
      <c r="I27" s="137"/>
      <c r="J27" s="137"/>
      <c r="K27" s="116"/>
      <c r="L27" s="22" t="s">
        <v>29</v>
      </c>
      <c r="M27" s="7">
        <v>0.3</v>
      </c>
      <c r="N27" s="8" t="s">
        <v>75</v>
      </c>
      <c r="O27" s="9">
        <v>0.15</v>
      </c>
      <c r="P27" s="9">
        <v>0.3</v>
      </c>
      <c r="Q27" s="9">
        <v>0.6</v>
      </c>
      <c r="R27" s="9">
        <v>1</v>
      </c>
      <c r="S27" s="10">
        <v>1</v>
      </c>
      <c r="T27" s="11">
        <f>+S27*M27</f>
        <v>0.3</v>
      </c>
      <c r="U27" s="104"/>
      <c r="V27" s="104"/>
      <c r="W27" s="138"/>
      <c r="X27" s="110"/>
    </row>
    <row r="28" spans="1:24" ht="64.5" customHeight="1">
      <c r="A28" s="127"/>
      <c r="B28" s="129"/>
      <c r="C28" s="129"/>
      <c r="D28" s="130"/>
      <c r="E28" s="95"/>
      <c r="F28" s="112"/>
      <c r="G28" s="114"/>
      <c r="H28" s="114"/>
      <c r="I28" s="114"/>
      <c r="J28" s="114"/>
      <c r="K28" s="116"/>
      <c r="L28" s="50" t="s">
        <v>30</v>
      </c>
      <c r="M28" s="43">
        <v>0.3</v>
      </c>
      <c r="N28" s="44" t="s">
        <v>76</v>
      </c>
      <c r="O28" s="9">
        <v>0.15</v>
      </c>
      <c r="P28" s="9">
        <v>0.3</v>
      </c>
      <c r="Q28" s="9">
        <v>0.6</v>
      </c>
      <c r="R28" s="9">
        <v>1</v>
      </c>
      <c r="S28" s="10">
        <v>1</v>
      </c>
      <c r="T28" s="11">
        <f>+S28*M28</f>
        <v>0.3</v>
      </c>
      <c r="U28" s="104"/>
      <c r="V28" s="104"/>
      <c r="W28" s="109"/>
      <c r="X28" s="107"/>
    </row>
    <row r="29" spans="1:23" ht="43.5" customHeight="1">
      <c r="A29" s="89" t="s">
        <v>26</v>
      </c>
      <c r="B29" s="90"/>
      <c r="C29" s="90"/>
      <c r="D29" s="90"/>
      <c r="E29" s="90"/>
      <c r="F29" s="90"/>
      <c r="G29" s="90"/>
      <c r="H29" s="90"/>
      <c r="I29" s="90"/>
      <c r="J29" s="90"/>
      <c r="K29" s="90"/>
      <c r="L29" s="91"/>
      <c r="M29" s="12">
        <f>SUM(M26:M28)</f>
        <v>1</v>
      </c>
      <c r="N29" s="13"/>
      <c r="O29" s="14"/>
      <c r="P29" s="14"/>
      <c r="Q29" s="14"/>
      <c r="R29" s="14"/>
      <c r="S29" s="12"/>
      <c r="T29" s="12">
        <f>SUM(T26:T28)</f>
        <v>1</v>
      </c>
      <c r="U29" s="12">
        <v>0.11</v>
      </c>
      <c r="V29" s="12">
        <f>+U29*T29</f>
        <v>0.11</v>
      </c>
      <c r="W29" s="15"/>
    </row>
    <row r="30" spans="1:24" ht="195">
      <c r="A30" s="16" t="s">
        <v>21</v>
      </c>
      <c r="B30" s="17" t="s">
        <v>37</v>
      </c>
      <c r="C30" s="17" t="s">
        <v>38</v>
      </c>
      <c r="D30" s="46" t="s">
        <v>60</v>
      </c>
      <c r="E30" s="36" t="s">
        <v>39</v>
      </c>
      <c r="F30" s="63">
        <v>10</v>
      </c>
      <c r="G30" s="66">
        <v>0</v>
      </c>
      <c r="H30" s="68">
        <v>3</v>
      </c>
      <c r="I30" s="70">
        <v>5</v>
      </c>
      <c r="J30" s="71">
        <v>12</v>
      </c>
      <c r="K30" s="63">
        <v>82</v>
      </c>
      <c r="L30" s="52" t="s">
        <v>40</v>
      </c>
      <c r="M30" s="39">
        <v>1</v>
      </c>
      <c r="N30" s="38" t="s">
        <v>78</v>
      </c>
      <c r="O30" s="40">
        <v>0.15</v>
      </c>
      <c r="P30" s="40">
        <v>0.45</v>
      </c>
      <c r="Q30" s="40">
        <v>0.8</v>
      </c>
      <c r="R30" s="40">
        <v>1</v>
      </c>
      <c r="S30" s="10">
        <v>1</v>
      </c>
      <c r="T30" s="11">
        <f>+S30*M30</f>
        <v>1</v>
      </c>
      <c r="U30" s="42"/>
      <c r="V30" s="42"/>
      <c r="W30" s="69" t="s">
        <v>125</v>
      </c>
      <c r="X30" s="37" t="s">
        <v>113</v>
      </c>
    </row>
    <row r="31" spans="1:23" ht="53.25" customHeight="1">
      <c r="A31" s="89" t="s">
        <v>26</v>
      </c>
      <c r="B31" s="90"/>
      <c r="C31" s="90"/>
      <c r="D31" s="90"/>
      <c r="E31" s="90"/>
      <c r="F31" s="90"/>
      <c r="G31" s="90"/>
      <c r="H31" s="90"/>
      <c r="I31" s="90"/>
      <c r="J31" s="90"/>
      <c r="K31" s="90"/>
      <c r="L31" s="91"/>
      <c r="M31" s="12">
        <f>SUM(M30:M30)</f>
        <v>1</v>
      </c>
      <c r="N31" s="13"/>
      <c r="O31" s="14"/>
      <c r="P31" s="14"/>
      <c r="Q31" s="14"/>
      <c r="R31" s="14"/>
      <c r="S31" s="12"/>
      <c r="T31" s="12">
        <f>SUM(T30:T30)</f>
        <v>1</v>
      </c>
      <c r="U31" s="12">
        <v>0.1</v>
      </c>
      <c r="V31" s="12">
        <f>+U31*T31</f>
        <v>0.1</v>
      </c>
      <c r="W31" s="15"/>
    </row>
    <row r="32" spans="1:24" ht="57.75" customHeight="1">
      <c r="A32" s="126" t="s">
        <v>21</v>
      </c>
      <c r="B32" s="128" t="s">
        <v>41</v>
      </c>
      <c r="C32" s="128" t="s">
        <v>42</v>
      </c>
      <c r="D32" s="139" t="s">
        <v>61</v>
      </c>
      <c r="E32" s="94" t="s">
        <v>43</v>
      </c>
      <c r="F32" s="143">
        <v>4</v>
      </c>
      <c r="G32" s="113">
        <v>2</v>
      </c>
      <c r="H32" s="113">
        <v>4</v>
      </c>
      <c r="I32" s="113">
        <v>4</v>
      </c>
      <c r="J32" s="113">
        <v>4</v>
      </c>
      <c r="K32" s="115">
        <v>44</v>
      </c>
      <c r="L32" s="50" t="s">
        <v>44</v>
      </c>
      <c r="M32" s="43">
        <v>0.4</v>
      </c>
      <c r="N32" s="44" t="s">
        <v>76</v>
      </c>
      <c r="O32" s="45">
        <v>0.5</v>
      </c>
      <c r="P32" s="45">
        <v>1</v>
      </c>
      <c r="Q32" s="45">
        <v>0</v>
      </c>
      <c r="R32" s="45">
        <v>0</v>
      </c>
      <c r="S32" s="10">
        <v>1</v>
      </c>
      <c r="T32" s="11">
        <f>+S32*M32</f>
        <v>0.4</v>
      </c>
      <c r="U32" s="103"/>
      <c r="V32" s="103"/>
      <c r="W32" s="108" t="s">
        <v>126</v>
      </c>
      <c r="X32" s="141" t="s">
        <v>107</v>
      </c>
    </row>
    <row r="33" spans="1:24" ht="66.75" customHeight="1">
      <c r="A33" s="127"/>
      <c r="B33" s="129"/>
      <c r="C33" s="129"/>
      <c r="D33" s="140"/>
      <c r="E33" s="95"/>
      <c r="F33" s="116"/>
      <c r="G33" s="114"/>
      <c r="H33" s="114"/>
      <c r="I33" s="114"/>
      <c r="J33" s="114"/>
      <c r="K33" s="116"/>
      <c r="L33" s="50" t="s">
        <v>45</v>
      </c>
      <c r="M33" s="43">
        <v>0.6</v>
      </c>
      <c r="N33" s="44" t="s">
        <v>76</v>
      </c>
      <c r="O33" s="45">
        <v>0</v>
      </c>
      <c r="P33" s="45">
        <v>0.2</v>
      </c>
      <c r="Q33" s="45">
        <v>0.7</v>
      </c>
      <c r="R33" s="45">
        <v>1</v>
      </c>
      <c r="S33" s="10">
        <v>1</v>
      </c>
      <c r="T33" s="11">
        <f>+S33*M33</f>
        <v>0.6</v>
      </c>
      <c r="U33" s="105"/>
      <c r="V33" s="105"/>
      <c r="W33" s="142"/>
      <c r="X33" s="110"/>
    </row>
    <row r="34" spans="1:23" ht="53.25" customHeight="1">
      <c r="A34" s="89" t="s">
        <v>26</v>
      </c>
      <c r="B34" s="90"/>
      <c r="C34" s="90"/>
      <c r="D34" s="90"/>
      <c r="E34" s="90"/>
      <c r="F34" s="90"/>
      <c r="G34" s="90"/>
      <c r="H34" s="90"/>
      <c r="I34" s="90"/>
      <c r="J34" s="90"/>
      <c r="K34" s="90"/>
      <c r="L34" s="91"/>
      <c r="M34" s="12">
        <f>SUM(M32:M33)</f>
        <v>1</v>
      </c>
      <c r="N34" s="13"/>
      <c r="O34" s="14"/>
      <c r="P34" s="14"/>
      <c r="Q34" s="14"/>
      <c r="R34" s="14"/>
      <c r="S34" s="12"/>
      <c r="T34" s="12">
        <f>SUM(T32:T33)</f>
        <v>1</v>
      </c>
      <c r="U34" s="12">
        <v>0.1</v>
      </c>
      <c r="V34" s="12">
        <f>+U34*T34</f>
        <v>0.1</v>
      </c>
      <c r="W34" s="15"/>
    </row>
    <row r="35" spans="1:23" ht="81.75" customHeight="1">
      <c r="A35" s="19" t="s">
        <v>21</v>
      </c>
      <c r="B35" s="20" t="s">
        <v>46</v>
      </c>
      <c r="C35" s="20" t="s">
        <v>47</v>
      </c>
      <c r="D35" s="47" t="s">
        <v>62</v>
      </c>
      <c r="E35" s="20" t="s">
        <v>48</v>
      </c>
      <c r="F35" s="64">
        <v>3</v>
      </c>
      <c r="G35" s="66">
        <v>0</v>
      </c>
      <c r="H35" s="68">
        <v>2</v>
      </c>
      <c r="I35" s="70">
        <v>4</v>
      </c>
      <c r="J35" s="71">
        <v>4</v>
      </c>
      <c r="K35" s="65">
        <v>20</v>
      </c>
      <c r="L35" s="53" t="s">
        <v>49</v>
      </c>
      <c r="M35" s="7">
        <v>1</v>
      </c>
      <c r="N35" s="8" t="s">
        <v>75</v>
      </c>
      <c r="O35" s="7">
        <v>0</v>
      </c>
      <c r="P35" s="7">
        <v>0.25</v>
      </c>
      <c r="Q35" s="7">
        <v>0.75</v>
      </c>
      <c r="R35" s="7">
        <v>1</v>
      </c>
      <c r="S35" s="10">
        <v>1</v>
      </c>
      <c r="T35" s="11">
        <f>+S35*M35</f>
        <v>1</v>
      </c>
      <c r="U35" s="21"/>
      <c r="V35" s="21"/>
      <c r="W35" s="18" t="s">
        <v>127</v>
      </c>
    </row>
    <row r="36" spans="1:23" ht="34.5" customHeight="1">
      <c r="A36" s="89" t="s">
        <v>26</v>
      </c>
      <c r="B36" s="90"/>
      <c r="C36" s="90"/>
      <c r="D36" s="90"/>
      <c r="E36" s="90"/>
      <c r="F36" s="90"/>
      <c r="G36" s="90"/>
      <c r="H36" s="90"/>
      <c r="I36" s="90"/>
      <c r="J36" s="90"/>
      <c r="K36" s="90"/>
      <c r="L36" s="91"/>
      <c r="M36" s="12">
        <f>SUM(M35:M35)</f>
        <v>1</v>
      </c>
      <c r="N36" s="13"/>
      <c r="O36" s="14"/>
      <c r="P36" s="14"/>
      <c r="Q36" s="14"/>
      <c r="R36" s="14"/>
      <c r="S36" s="12"/>
      <c r="T36" s="12">
        <f>SUM(T35:T35)</f>
        <v>1</v>
      </c>
      <c r="U36" s="12">
        <v>0.1</v>
      </c>
      <c r="V36" s="12">
        <f>+U36*T36</f>
        <v>0.1</v>
      </c>
      <c r="W36" s="15"/>
    </row>
    <row r="37" spans="1:23" ht="53.25" customHeight="1">
      <c r="A37" s="150" t="s">
        <v>21</v>
      </c>
      <c r="B37" s="119" t="s">
        <v>22</v>
      </c>
      <c r="C37" s="151" t="s">
        <v>50</v>
      </c>
      <c r="D37" s="152" t="s">
        <v>63</v>
      </c>
      <c r="E37" s="151" t="s">
        <v>51</v>
      </c>
      <c r="F37" s="153">
        <v>1</v>
      </c>
      <c r="G37" s="156">
        <v>0.5</v>
      </c>
      <c r="H37" s="156">
        <v>0.65</v>
      </c>
      <c r="I37" s="156">
        <v>0.65</v>
      </c>
      <c r="J37" s="156">
        <v>0.8</v>
      </c>
      <c r="K37" s="144">
        <v>11</v>
      </c>
      <c r="L37" s="52" t="s">
        <v>69</v>
      </c>
      <c r="M37" s="23">
        <v>0.4</v>
      </c>
      <c r="N37" s="22" t="s">
        <v>80</v>
      </c>
      <c r="O37" s="23">
        <v>0.25</v>
      </c>
      <c r="P37" s="23">
        <v>0.5</v>
      </c>
      <c r="Q37" s="23">
        <v>1</v>
      </c>
      <c r="R37" s="23">
        <v>1</v>
      </c>
      <c r="S37" s="67">
        <v>1</v>
      </c>
      <c r="T37" s="11">
        <f>+S37*M37</f>
        <v>0.4</v>
      </c>
      <c r="U37" s="154"/>
      <c r="V37" s="154"/>
      <c r="W37" s="148" t="s">
        <v>128</v>
      </c>
    </row>
    <row r="38" spans="1:23" ht="56.25" customHeight="1">
      <c r="A38" s="150"/>
      <c r="B38" s="119"/>
      <c r="C38" s="151"/>
      <c r="D38" s="152"/>
      <c r="E38" s="151"/>
      <c r="F38" s="153"/>
      <c r="G38" s="157"/>
      <c r="H38" s="157"/>
      <c r="I38" s="157"/>
      <c r="J38" s="157"/>
      <c r="K38" s="144"/>
      <c r="L38" s="52" t="s">
        <v>79</v>
      </c>
      <c r="M38" s="41">
        <v>0.6</v>
      </c>
      <c r="N38" s="38" t="s">
        <v>81</v>
      </c>
      <c r="O38" s="41">
        <v>0</v>
      </c>
      <c r="P38" s="41">
        <v>0</v>
      </c>
      <c r="Q38" s="41">
        <v>0.5</v>
      </c>
      <c r="R38" s="41">
        <v>1</v>
      </c>
      <c r="S38" s="67">
        <v>0.9</v>
      </c>
      <c r="T38" s="11">
        <f>+S38*M38</f>
        <v>0.54</v>
      </c>
      <c r="U38" s="155"/>
      <c r="V38" s="155"/>
      <c r="W38" s="149"/>
    </row>
    <row r="39" spans="1:23" ht="34.5" customHeight="1">
      <c r="A39" s="89" t="s">
        <v>26</v>
      </c>
      <c r="B39" s="90"/>
      <c r="C39" s="90"/>
      <c r="D39" s="90"/>
      <c r="E39" s="90"/>
      <c r="F39" s="90"/>
      <c r="G39" s="90"/>
      <c r="H39" s="90"/>
      <c r="I39" s="90"/>
      <c r="J39" s="90"/>
      <c r="K39" s="90"/>
      <c r="L39" s="91"/>
      <c r="M39" s="12">
        <f>+M37+M38</f>
        <v>1</v>
      </c>
      <c r="N39" s="13"/>
      <c r="O39" s="14"/>
      <c r="P39" s="14"/>
      <c r="Q39" s="14"/>
      <c r="R39" s="14"/>
      <c r="S39" s="12"/>
      <c r="T39" s="12">
        <f>+T37+T38</f>
        <v>0.9400000000000001</v>
      </c>
      <c r="U39" s="12">
        <v>0.1</v>
      </c>
      <c r="V39" s="12">
        <f>+U39*T39</f>
        <v>0.09400000000000001</v>
      </c>
      <c r="W39" s="15"/>
    </row>
    <row r="40" spans="1:23" ht="34.5" customHeight="1">
      <c r="A40" s="89" t="s">
        <v>52</v>
      </c>
      <c r="B40" s="90"/>
      <c r="C40" s="90"/>
      <c r="D40" s="90"/>
      <c r="E40" s="90"/>
      <c r="F40" s="24"/>
      <c r="G40" s="24"/>
      <c r="H40" s="24"/>
      <c r="I40" s="24"/>
      <c r="J40" s="24"/>
      <c r="K40" s="25">
        <f>+K8+K15+K18+K22+K26+K30+K32+K35+K37+K11</f>
        <v>1048</v>
      </c>
      <c r="L40" s="54"/>
      <c r="M40" s="25"/>
      <c r="N40" s="26"/>
      <c r="O40" s="145"/>
      <c r="P40" s="146"/>
      <c r="Q40" s="146"/>
      <c r="R40" s="146"/>
      <c r="S40" s="146"/>
      <c r="T40" s="147"/>
      <c r="U40" s="27">
        <f>+U10+U14+U17+U21+U25+U29+U31+U34+U36+U39</f>
        <v>0.9999999999999999</v>
      </c>
      <c r="V40" s="27">
        <f>+V10+V14+V17+V21+V25+V29+V31+V34+V36+V39</f>
        <v>0.9939999999999999</v>
      </c>
      <c r="W40" s="15"/>
    </row>
    <row r="42" spans="4:11" ht="18.75">
      <c r="D42" s="28"/>
      <c r="E42" s="29"/>
      <c r="K42" s="30"/>
    </row>
    <row r="43" spans="1:21" ht="15">
      <c r="A43" s="32"/>
      <c r="B43" s="32"/>
      <c r="C43" s="32"/>
      <c r="U43" s="34"/>
    </row>
    <row r="44" ht="15">
      <c r="A44" s="2" t="s">
        <v>53</v>
      </c>
    </row>
    <row r="46" ht="15">
      <c r="K46" s="30"/>
    </row>
  </sheetData>
  <sheetProtection/>
  <mergeCells count="149">
    <mergeCell ref="A40:E40"/>
    <mergeCell ref="O40:T40"/>
    <mergeCell ref="W37:W38"/>
    <mergeCell ref="A37:A38"/>
    <mergeCell ref="B37:B38"/>
    <mergeCell ref="C37:C38"/>
    <mergeCell ref="D37:D38"/>
    <mergeCell ref="E37:E38"/>
    <mergeCell ref="F37:F38"/>
    <mergeCell ref="U37:U38"/>
    <mergeCell ref="V37:V38"/>
    <mergeCell ref="G37:G38"/>
    <mergeCell ref="H37:H38"/>
    <mergeCell ref="I37:I38"/>
    <mergeCell ref="J37:J38"/>
    <mergeCell ref="A36:L36"/>
    <mergeCell ref="F32:F33"/>
    <mergeCell ref="G32:G33"/>
    <mergeCell ref="H32:H33"/>
    <mergeCell ref="I32:I33"/>
    <mergeCell ref="J32:J33"/>
    <mergeCell ref="K37:K38"/>
    <mergeCell ref="A39:L39"/>
    <mergeCell ref="U26:U28"/>
    <mergeCell ref="A34:L34"/>
    <mergeCell ref="V26:V28"/>
    <mergeCell ref="X26:X28"/>
    <mergeCell ref="A29:L29"/>
    <mergeCell ref="A31:L31"/>
    <mergeCell ref="A32:A33"/>
    <mergeCell ref="B32:B33"/>
    <mergeCell ref="C32:C33"/>
    <mergeCell ref="D32:D33"/>
    <mergeCell ref="E32:E33"/>
    <mergeCell ref="F26:F28"/>
    <mergeCell ref="G26:G28"/>
    <mergeCell ref="H26:H28"/>
    <mergeCell ref="I26:I28"/>
    <mergeCell ref="J26:J28"/>
    <mergeCell ref="K26:K28"/>
    <mergeCell ref="K32:K33"/>
    <mergeCell ref="U32:U33"/>
    <mergeCell ref="V32:V33"/>
    <mergeCell ref="X32:X33"/>
    <mergeCell ref="W26:W28"/>
    <mergeCell ref="W32:W33"/>
    <mergeCell ref="A25:L25"/>
    <mergeCell ref="A26:A28"/>
    <mergeCell ref="B26:B28"/>
    <mergeCell ref="C26:C28"/>
    <mergeCell ref="D26:D28"/>
    <mergeCell ref="E26:E28"/>
    <mergeCell ref="F22:F24"/>
    <mergeCell ref="G22:G24"/>
    <mergeCell ref="H22:H24"/>
    <mergeCell ref="I22:I24"/>
    <mergeCell ref="J22:J24"/>
    <mergeCell ref="K22:K24"/>
    <mergeCell ref="U18:U20"/>
    <mergeCell ref="V18:V20"/>
    <mergeCell ref="X18:X20"/>
    <mergeCell ref="A21:L21"/>
    <mergeCell ref="A22:A24"/>
    <mergeCell ref="B22:B24"/>
    <mergeCell ref="C22:C24"/>
    <mergeCell ref="D22:D24"/>
    <mergeCell ref="E22:E24"/>
    <mergeCell ref="F18:F20"/>
    <mergeCell ref="G18:G20"/>
    <mergeCell ref="H18:H20"/>
    <mergeCell ref="I18:I20"/>
    <mergeCell ref="J18:J20"/>
    <mergeCell ref="K18:K20"/>
    <mergeCell ref="U22:U24"/>
    <mergeCell ref="V22:V24"/>
    <mergeCell ref="X22:X24"/>
    <mergeCell ref="W18:W20"/>
    <mergeCell ref="W22:W24"/>
    <mergeCell ref="A17:L17"/>
    <mergeCell ref="A18:A20"/>
    <mergeCell ref="B18:B20"/>
    <mergeCell ref="C18:C20"/>
    <mergeCell ref="D18:D20"/>
    <mergeCell ref="E18:E20"/>
    <mergeCell ref="F15:F16"/>
    <mergeCell ref="G15:G16"/>
    <mergeCell ref="H15:H16"/>
    <mergeCell ref="I15:I16"/>
    <mergeCell ref="J15:J16"/>
    <mergeCell ref="K15:K16"/>
    <mergeCell ref="A15:A16"/>
    <mergeCell ref="B15:B16"/>
    <mergeCell ref="C15:C16"/>
    <mergeCell ref="D15:D16"/>
    <mergeCell ref="E15:E16"/>
    <mergeCell ref="U15:U16"/>
    <mergeCell ref="V15:V16"/>
    <mergeCell ref="X15:X16"/>
    <mergeCell ref="W15:W16"/>
    <mergeCell ref="X8:X9"/>
    <mergeCell ref="F8:F9"/>
    <mergeCell ref="G8:G9"/>
    <mergeCell ref="H8:H9"/>
    <mergeCell ref="I8:I9"/>
    <mergeCell ref="J8:J9"/>
    <mergeCell ref="K8:K9"/>
    <mergeCell ref="W8:W9"/>
    <mergeCell ref="A14:L14"/>
    <mergeCell ref="K11:K13"/>
    <mergeCell ref="F11:F13"/>
    <mergeCell ref="E11:E13"/>
    <mergeCell ref="D11:D13"/>
    <mergeCell ref="C11:C13"/>
    <mergeCell ref="B11:B13"/>
    <mergeCell ref="A11:A13"/>
    <mergeCell ref="W11:W13"/>
    <mergeCell ref="G11:G13"/>
    <mergeCell ref="H11:H13"/>
    <mergeCell ref="I11:I13"/>
    <mergeCell ref="W6:W7"/>
    <mergeCell ref="F6:F7"/>
    <mergeCell ref="G6:J6"/>
    <mergeCell ref="K6:K7"/>
    <mergeCell ref="L6:L7"/>
    <mergeCell ref="M6:M7"/>
    <mergeCell ref="N6:N7"/>
    <mergeCell ref="U8:U9"/>
    <mergeCell ref="V8:V9"/>
    <mergeCell ref="J11:J13"/>
    <mergeCell ref="A1:V1"/>
    <mergeCell ref="A2:V2"/>
    <mergeCell ref="A3:V3"/>
    <mergeCell ref="A4:M4"/>
    <mergeCell ref="A6:A7"/>
    <mergeCell ref="B6:B7"/>
    <mergeCell ref="C6:C7"/>
    <mergeCell ref="D6:D7"/>
    <mergeCell ref="E6:E7"/>
    <mergeCell ref="O6:R6"/>
    <mergeCell ref="S6:S7"/>
    <mergeCell ref="T6:T7"/>
    <mergeCell ref="U6:U7"/>
    <mergeCell ref="V6:V7"/>
    <mergeCell ref="A10:L10"/>
    <mergeCell ref="A8:A9"/>
    <mergeCell ref="B8:B9"/>
    <mergeCell ref="C8:C9"/>
    <mergeCell ref="D8:D9"/>
    <mergeCell ref="E8:E9"/>
  </mergeCells>
  <dataValidations count="1">
    <dataValidation type="textLength" operator="lessThanOrEqual" allowBlank="1" showInputMessage="1" showErrorMessage="1" promptTitle="Número máximo de caracteres" prompt="Esta celda tendrá máximo 400 caracteres" sqref="W1:W7 W17 W21 W25 W29 W31 W34 W36 W10 W14 W39:W65428">
      <formula1>400</formula1>
    </dataValidation>
  </dataValidations>
  <printOptions/>
  <pageMargins left="0.3937007874015748" right="0" top="0.3937007874015748" bottom="0.3937007874015748" header="0.31496062992125984" footer="0.31496062992125984"/>
  <pageSetup horizontalDpi="600" verticalDpi="600" orientation="landscape" scale="65" r:id="rId3"/>
  <rowBreaks count="2" manualBreakCount="2">
    <brk id="17" max="255" man="1"/>
    <brk id="29" max="255" man="1"/>
  </rowBreaks>
  <legacyDrawing r:id="rId2"/>
</worksheet>
</file>

<file path=xl/worksheets/sheet2.xml><?xml version="1.0" encoding="utf-8"?>
<worksheet xmlns="http://schemas.openxmlformats.org/spreadsheetml/2006/main" xmlns:r="http://schemas.openxmlformats.org/officeDocument/2006/relationships">
  <dimension ref="A1:R29"/>
  <sheetViews>
    <sheetView zoomScalePageLayoutView="0" workbookViewId="0" topLeftCell="A1">
      <pane xSplit="1" ySplit="1" topLeftCell="E2" activePane="bottomRight" state="frozen"/>
      <selection pane="topLeft" activeCell="A1" sqref="A1"/>
      <selection pane="topRight" activeCell="B1" sqref="B1"/>
      <selection pane="bottomLeft" activeCell="A2" sqref="A2"/>
      <selection pane="bottomRight" activeCell="K2" sqref="K2"/>
    </sheetView>
  </sheetViews>
  <sheetFormatPr defaultColWidth="11.421875" defaultRowHeight="15"/>
  <cols>
    <col min="1" max="1" width="24.7109375" style="0" bestFit="1" customWidth="1"/>
    <col min="2" max="2" width="12.421875" style="0" bestFit="1" customWidth="1"/>
    <col min="3" max="3" width="16.421875" style="0" customWidth="1"/>
    <col min="4" max="4" width="14.00390625" style="0" customWidth="1"/>
    <col min="5" max="6" width="13.421875" style="0" bestFit="1" customWidth="1"/>
    <col min="7" max="7" width="12.421875" style="0" bestFit="1" customWidth="1"/>
    <col min="8" max="8" width="15.00390625" style="0" bestFit="1" customWidth="1"/>
    <col min="9" max="9" width="12.421875" style="0" bestFit="1" customWidth="1"/>
    <col min="10" max="10" width="15.00390625" style="0" bestFit="1" customWidth="1"/>
    <col min="11" max="11" width="14.57421875" style="0" bestFit="1" customWidth="1"/>
    <col min="12" max="12" width="15.00390625" style="0" bestFit="1" customWidth="1"/>
  </cols>
  <sheetData>
    <row r="1" spans="1:12" s="58" customFormat="1" ht="45">
      <c r="A1" s="58" t="s">
        <v>82</v>
      </c>
      <c r="B1" s="58" t="s">
        <v>83</v>
      </c>
      <c r="C1" s="59" t="s">
        <v>70</v>
      </c>
      <c r="D1" s="59" t="s">
        <v>89</v>
      </c>
      <c r="E1" s="59" t="s">
        <v>91</v>
      </c>
      <c r="F1" s="59" t="s">
        <v>95</v>
      </c>
      <c r="G1" s="59" t="s">
        <v>97</v>
      </c>
      <c r="H1" s="58" t="s">
        <v>38</v>
      </c>
      <c r="I1" s="59" t="s">
        <v>102</v>
      </c>
      <c r="J1" s="58" t="s">
        <v>103</v>
      </c>
      <c r="K1" s="58" t="s">
        <v>50</v>
      </c>
      <c r="L1" s="61" t="s">
        <v>104</v>
      </c>
    </row>
    <row r="2" spans="1:18" ht="15">
      <c r="A2" t="s">
        <v>84</v>
      </c>
      <c r="B2" s="57">
        <f>3000000</f>
        <v>3000000</v>
      </c>
      <c r="C2" s="57">
        <f>3000000</f>
        <v>3000000</v>
      </c>
      <c r="D2" s="57">
        <f>3000000*41</f>
        <v>123000000</v>
      </c>
      <c r="E2" s="57">
        <f>3000000*55</f>
        <v>165000000</v>
      </c>
      <c r="F2" s="57">
        <f>3000000*50</f>
        <v>150000000</v>
      </c>
      <c r="G2" s="57">
        <f>3000000*10</f>
        <v>30000000</v>
      </c>
      <c r="H2" s="57"/>
      <c r="I2" s="57"/>
      <c r="J2" s="57">
        <f>3000000*3</f>
        <v>9000000</v>
      </c>
      <c r="K2" s="57">
        <f>3000000*3</f>
        <v>9000000</v>
      </c>
      <c r="L2" s="60">
        <f>SUM(B2:K2)</f>
        <v>492000000</v>
      </c>
      <c r="M2" s="57"/>
      <c r="N2" s="57"/>
      <c r="O2" s="57"/>
      <c r="P2" s="57"/>
      <c r="Q2" s="57"/>
      <c r="R2" s="57"/>
    </row>
    <row r="3" spans="1:18" ht="15">
      <c r="A3" t="s">
        <v>85</v>
      </c>
      <c r="B3" s="57">
        <f>(200000*3)*4</f>
        <v>2400000</v>
      </c>
      <c r="C3" s="57">
        <f>(200000*3)</f>
        <v>600000</v>
      </c>
      <c r="D3" s="57">
        <f>(200000*3)*41</f>
        <v>24600000</v>
      </c>
      <c r="E3" s="57"/>
      <c r="F3" s="57"/>
      <c r="G3" s="57"/>
      <c r="H3" s="57"/>
      <c r="I3" s="57"/>
      <c r="J3" s="57">
        <f>(200000*3)*3</f>
        <v>1800000</v>
      </c>
      <c r="K3" s="57">
        <f>(200000*3)*3</f>
        <v>1800000</v>
      </c>
      <c r="L3" s="60">
        <f aca="true" t="shared" si="0" ref="L3:L15">SUM(B3:K3)</f>
        <v>31200000</v>
      </c>
      <c r="M3" s="57"/>
      <c r="N3" s="57"/>
      <c r="O3" s="57"/>
      <c r="P3" s="57"/>
      <c r="Q3" s="57"/>
      <c r="R3" s="57"/>
    </row>
    <row r="4" spans="1:18" ht="15">
      <c r="A4" t="s">
        <v>90</v>
      </c>
      <c r="B4" s="57"/>
      <c r="C4" s="57"/>
      <c r="D4" s="57"/>
      <c r="E4" s="57">
        <f>(200000*3)*55</f>
        <v>33000000</v>
      </c>
      <c r="F4" s="57"/>
      <c r="G4" s="57">
        <f>100000*80</f>
        <v>8000000</v>
      </c>
      <c r="H4" s="57"/>
      <c r="I4" s="57"/>
      <c r="J4" s="57"/>
      <c r="K4" s="57"/>
      <c r="L4" s="60">
        <f t="shared" si="0"/>
        <v>41000000</v>
      </c>
      <c r="M4" s="57"/>
      <c r="N4" s="57"/>
      <c r="O4" s="57"/>
      <c r="P4" s="57"/>
      <c r="Q4" s="57"/>
      <c r="R4" s="57"/>
    </row>
    <row r="5" spans="1:18" ht="15">
      <c r="A5" t="s">
        <v>86</v>
      </c>
      <c r="B5" s="57"/>
      <c r="C5" s="57">
        <f>3800000*12</f>
        <v>45600000</v>
      </c>
      <c r="E5" s="57"/>
      <c r="F5" s="57">
        <f>2700000*12</f>
        <v>32400000</v>
      </c>
      <c r="G5" s="57"/>
      <c r="H5" s="57">
        <f>3000000*12</f>
        <v>36000000</v>
      </c>
      <c r="I5" s="57">
        <f>3000000*12</f>
        <v>36000000</v>
      </c>
      <c r="J5" s="57"/>
      <c r="K5" s="57"/>
      <c r="L5" s="60">
        <f t="shared" si="0"/>
        <v>150000000</v>
      </c>
      <c r="M5" s="57"/>
      <c r="N5" s="57"/>
      <c r="O5" s="57"/>
      <c r="P5" s="57"/>
      <c r="Q5" s="57"/>
      <c r="R5" s="57"/>
    </row>
    <row r="6" spans="1:18" ht="15">
      <c r="A6" t="s">
        <v>87</v>
      </c>
      <c r="B6" s="57"/>
      <c r="C6" s="57"/>
      <c r="D6" s="57">
        <f>600000*41</f>
        <v>24600000</v>
      </c>
      <c r="E6" s="57"/>
      <c r="F6" s="57">
        <f>600000*20</f>
        <v>12000000</v>
      </c>
      <c r="G6" s="57"/>
      <c r="H6" s="57"/>
      <c r="I6" s="57">
        <f>600000*3</f>
        <v>1800000</v>
      </c>
      <c r="J6" s="57">
        <f>600000*3</f>
        <v>1800000</v>
      </c>
      <c r="K6" s="57"/>
      <c r="L6" s="60">
        <f t="shared" si="0"/>
        <v>40200000</v>
      </c>
      <c r="M6" s="57"/>
      <c r="N6" s="57"/>
      <c r="O6" s="57"/>
      <c r="P6" s="57"/>
      <c r="Q6" s="57"/>
      <c r="R6" s="57"/>
    </row>
    <row r="7" spans="1:18" ht="15">
      <c r="A7" t="s">
        <v>88</v>
      </c>
      <c r="B7" s="57"/>
      <c r="C7" s="57">
        <v>10000000</v>
      </c>
      <c r="D7" s="57"/>
      <c r="E7" s="57"/>
      <c r="F7" s="57"/>
      <c r="G7" s="57"/>
      <c r="H7" s="57"/>
      <c r="I7" s="57">
        <v>5000000</v>
      </c>
      <c r="J7" s="57">
        <v>5000000</v>
      </c>
      <c r="K7" s="57"/>
      <c r="L7" s="60">
        <f t="shared" si="0"/>
        <v>20000000</v>
      </c>
      <c r="M7" s="57"/>
      <c r="N7" s="57"/>
      <c r="O7" s="57"/>
      <c r="P7" s="57"/>
      <c r="Q7" s="57"/>
      <c r="R7" s="57"/>
    </row>
    <row r="8" spans="1:18" ht="15">
      <c r="A8" t="s">
        <v>92</v>
      </c>
      <c r="B8" s="57">
        <f>20000*8</f>
        <v>160000</v>
      </c>
      <c r="C8" s="57"/>
      <c r="D8" s="57"/>
      <c r="E8" s="57">
        <f>20000*55</f>
        <v>1100000</v>
      </c>
      <c r="F8" s="57">
        <f>20000*100</f>
        <v>2000000</v>
      </c>
      <c r="G8" s="57">
        <f>20000*100</f>
        <v>2000000</v>
      </c>
      <c r="H8" s="57">
        <f>20000*500</f>
        <v>10000000</v>
      </c>
      <c r="I8" s="57"/>
      <c r="J8" s="57">
        <f>20000*100</f>
        <v>2000000</v>
      </c>
      <c r="K8" s="57">
        <f>20000*10</f>
        <v>200000</v>
      </c>
      <c r="L8" s="60">
        <f t="shared" si="0"/>
        <v>17460000</v>
      </c>
      <c r="M8" s="57"/>
      <c r="N8" s="57"/>
      <c r="O8" s="57"/>
      <c r="P8" s="57"/>
      <c r="Q8" s="57"/>
      <c r="R8" s="57"/>
    </row>
    <row r="9" spans="1:18" ht="15">
      <c r="A9" t="s">
        <v>93</v>
      </c>
      <c r="B9" s="57"/>
      <c r="C9" s="57"/>
      <c r="D9" s="57"/>
      <c r="E9" s="57">
        <f>((10000+7000)*3)*55</f>
        <v>2805000</v>
      </c>
      <c r="F9" s="57"/>
      <c r="G9" s="57">
        <f>((10000+7000)*5)*80</f>
        <v>6800000</v>
      </c>
      <c r="H9" s="57">
        <f>7000*500</f>
        <v>3500000</v>
      </c>
      <c r="I9" s="57">
        <f>7000*50</f>
        <v>350000</v>
      </c>
      <c r="J9" s="57"/>
      <c r="K9" s="57"/>
      <c r="L9" s="60">
        <f t="shared" si="0"/>
        <v>13455000</v>
      </c>
      <c r="M9" s="57"/>
      <c r="N9" s="57"/>
      <c r="O9" s="57"/>
      <c r="P9" s="57"/>
      <c r="Q9" s="57"/>
      <c r="R9" s="57"/>
    </row>
    <row r="10" spans="1:18" ht="15">
      <c r="A10" t="s">
        <v>94</v>
      </c>
      <c r="B10" s="57"/>
      <c r="C10" s="57"/>
      <c r="D10" s="57"/>
      <c r="E10" s="57">
        <f>(50000*3)*55</f>
        <v>8250000</v>
      </c>
      <c r="F10" s="57">
        <f>100000*50</f>
        <v>5000000</v>
      </c>
      <c r="G10" s="57">
        <f>(50000*5)*80</f>
        <v>20000000</v>
      </c>
      <c r="H10" s="57">
        <f>(50000*5)*10</f>
        <v>2500000</v>
      </c>
      <c r="I10" s="57"/>
      <c r="J10" s="57"/>
      <c r="K10" s="57"/>
      <c r="L10" s="60">
        <f t="shared" si="0"/>
        <v>35750000</v>
      </c>
      <c r="M10" s="57"/>
      <c r="N10" s="57"/>
      <c r="O10" s="57"/>
      <c r="P10" s="57"/>
      <c r="Q10" s="57"/>
      <c r="R10" s="57"/>
    </row>
    <row r="11" spans="1:18" ht="15">
      <c r="A11" t="s">
        <v>96</v>
      </c>
      <c r="B11" s="57"/>
      <c r="C11" s="57"/>
      <c r="D11" s="57"/>
      <c r="E11" s="57"/>
      <c r="F11" s="57">
        <f>((2400000+4000000)/2)*50</f>
        <v>160000000</v>
      </c>
      <c r="G11" s="57"/>
      <c r="H11" s="57"/>
      <c r="I11" s="57"/>
      <c r="J11" s="57"/>
      <c r="K11" s="57"/>
      <c r="L11" s="60">
        <f t="shared" si="0"/>
        <v>160000000</v>
      </c>
      <c r="M11" s="57"/>
      <c r="N11" s="57"/>
      <c r="O11" s="57"/>
      <c r="P11" s="57"/>
      <c r="Q11" s="57"/>
      <c r="R11" s="57"/>
    </row>
    <row r="12" spans="1:18" ht="15">
      <c r="A12" t="s">
        <v>98</v>
      </c>
      <c r="B12" s="57"/>
      <c r="C12" s="57"/>
      <c r="D12" s="57"/>
      <c r="E12" s="57"/>
      <c r="F12" s="57"/>
      <c r="G12" s="57">
        <f>100000*100</f>
        <v>10000000</v>
      </c>
      <c r="H12" s="57"/>
      <c r="I12" s="57"/>
      <c r="J12" s="57"/>
      <c r="K12" s="57"/>
      <c r="L12" s="60">
        <f t="shared" si="0"/>
        <v>10000000</v>
      </c>
      <c r="M12" s="57"/>
      <c r="N12" s="57"/>
      <c r="O12" s="57"/>
      <c r="P12" s="57"/>
      <c r="Q12" s="57"/>
      <c r="R12" s="57"/>
    </row>
    <row r="13" spans="1:18" ht="15">
      <c r="A13" t="s">
        <v>99</v>
      </c>
      <c r="B13" s="57"/>
      <c r="C13" s="57"/>
      <c r="D13" s="57"/>
      <c r="E13" s="57"/>
      <c r="F13" s="57"/>
      <c r="G13" s="57">
        <f>20000*80</f>
        <v>1600000</v>
      </c>
      <c r="H13" s="57"/>
      <c r="I13" s="57"/>
      <c r="J13" s="57"/>
      <c r="K13" s="57"/>
      <c r="L13" s="60">
        <f t="shared" si="0"/>
        <v>1600000</v>
      </c>
      <c r="M13" s="57"/>
      <c r="N13" s="57"/>
      <c r="O13" s="57"/>
      <c r="P13" s="57"/>
      <c r="Q13" s="57"/>
      <c r="R13" s="57"/>
    </row>
    <row r="14" spans="1:18" ht="15">
      <c r="A14" t="s">
        <v>100</v>
      </c>
      <c r="B14" s="57"/>
      <c r="C14" s="57"/>
      <c r="D14" s="57"/>
      <c r="E14" s="57"/>
      <c r="F14" s="57"/>
      <c r="G14" s="57"/>
      <c r="H14" s="57">
        <f>20000*500</f>
        <v>10000000</v>
      </c>
      <c r="I14" s="57"/>
      <c r="J14" s="57"/>
      <c r="K14" s="57"/>
      <c r="L14" s="60">
        <f t="shared" si="0"/>
        <v>10000000</v>
      </c>
      <c r="M14" s="57"/>
      <c r="N14" s="57"/>
      <c r="O14" s="57"/>
      <c r="P14" s="57"/>
      <c r="Q14" s="57"/>
      <c r="R14" s="57"/>
    </row>
    <row r="15" spans="1:18" ht="15">
      <c r="A15" t="s">
        <v>101</v>
      </c>
      <c r="B15" s="57"/>
      <c r="C15" s="57"/>
      <c r="D15" s="57"/>
      <c r="E15" s="57"/>
      <c r="F15" s="57"/>
      <c r="G15" s="57"/>
      <c r="H15" s="57">
        <f>20000000</f>
        <v>20000000</v>
      </c>
      <c r="I15" s="57"/>
      <c r="J15" s="57"/>
      <c r="K15" s="57"/>
      <c r="L15" s="60">
        <f t="shared" si="0"/>
        <v>20000000</v>
      </c>
      <c r="M15" s="57"/>
      <c r="N15" s="57"/>
      <c r="O15" s="57"/>
      <c r="P15" s="57"/>
      <c r="Q15" s="57"/>
      <c r="R15" s="57"/>
    </row>
    <row r="16" spans="1:18" ht="15">
      <c r="A16" s="62" t="s">
        <v>104</v>
      </c>
      <c r="B16" s="60">
        <f>SUM(B2:B15)</f>
        <v>5560000</v>
      </c>
      <c r="C16" s="60">
        <f>SUM(C2:C15)</f>
        <v>59200000</v>
      </c>
      <c r="D16" s="60">
        <f>SUM(D2:D15)</f>
        <v>172200000</v>
      </c>
      <c r="E16" s="60">
        <f>SUM(E2:E15)</f>
        <v>210155000</v>
      </c>
      <c r="F16" s="60">
        <f aca="true" t="shared" si="1" ref="F16:L16">SUM(F2:F15)</f>
        <v>361400000</v>
      </c>
      <c r="G16" s="60">
        <f t="shared" si="1"/>
        <v>78400000</v>
      </c>
      <c r="H16" s="60">
        <f t="shared" si="1"/>
        <v>82000000</v>
      </c>
      <c r="I16" s="60">
        <f t="shared" si="1"/>
        <v>43150000</v>
      </c>
      <c r="J16" s="60">
        <f t="shared" si="1"/>
        <v>19600000</v>
      </c>
      <c r="K16" s="60">
        <f t="shared" si="1"/>
        <v>11000000</v>
      </c>
      <c r="L16" s="60">
        <f t="shared" si="1"/>
        <v>1042665000</v>
      </c>
      <c r="M16" s="57"/>
      <c r="N16" s="57"/>
      <c r="O16" s="57"/>
      <c r="P16" s="57"/>
      <c r="Q16" s="57"/>
      <c r="R16" s="57"/>
    </row>
    <row r="17" spans="2:18" ht="15">
      <c r="B17" s="57"/>
      <c r="C17" s="57"/>
      <c r="D17" s="57"/>
      <c r="E17" s="57"/>
      <c r="F17" s="57"/>
      <c r="G17" s="57"/>
      <c r="H17" s="57"/>
      <c r="I17" s="57"/>
      <c r="J17" s="57"/>
      <c r="K17" s="57"/>
      <c r="L17" s="57"/>
      <c r="M17" s="57"/>
      <c r="N17" s="57"/>
      <c r="O17" s="57"/>
      <c r="P17" s="57"/>
      <c r="Q17" s="57"/>
      <c r="R17" s="57"/>
    </row>
    <row r="18" spans="2:18" ht="15">
      <c r="B18" s="57"/>
      <c r="C18" s="57"/>
      <c r="D18" s="57"/>
      <c r="E18" s="57"/>
      <c r="F18" s="57"/>
      <c r="G18" s="57"/>
      <c r="H18" s="57"/>
      <c r="I18" s="57"/>
      <c r="J18" s="57"/>
      <c r="K18" s="57"/>
      <c r="L18" s="57"/>
      <c r="M18" s="57"/>
      <c r="N18" s="57"/>
      <c r="O18" s="57"/>
      <c r="P18" s="57"/>
      <c r="Q18" s="57"/>
      <c r="R18" s="57"/>
    </row>
    <row r="19" spans="2:18" ht="15">
      <c r="B19" s="57"/>
      <c r="C19" s="57"/>
      <c r="D19" s="57"/>
      <c r="E19" s="57"/>
      <c r="F19" s="57"/>
      <c r="G19" s="57"/>
      <c r="H19" s="57"/>
      <c r="I19" s="57"/>
      <c r="J19" s="57"/>
      <c r="K19" s="57"/>
      <c r="L19" s="57"/>
      <c r="M19" s="57"/>
      <c r="N19" s="57"/>
      <c r="O19" s="57"/>
      <c r="P19" s="57"/>
      <c r="Q19" s="57"/>
      <c r="R19" s="57"/>
    </row>
    <row r="20" spans="2:18" ht="15">
      <c r="B20" s="57"/>
      <c r="C20" s="57"/>
      <c r="D20" s="57"/>
      <c r="E20" s="57"/>
      <c r="F20" s="57"/>
      <c r="G20" s="57"/>
      <c r="H20" s="57"/>
      <c r="I20" s="57"/>
      <c r="J20" s="57"/>
      <c r="K20" s="57"/>
      <c r="L20" s="57"/>
      <c r="M20" s="57"/>
      <c r="N20" s="57"/>
      <c r="O20" s="57"/>
      <c r="P20" s="57"/>
      <c r="Q20" s="57"/>
      <c r="R20" s="57"/>
    </row>
    <row r="21" spans="2:18" ht="15">
      <c r="B21" s="57"/>
      <c r="C21" s="57"/>
      <c r="D21" s="57"/>
      <c r="E21" s="57"/>
      <c r="F21" s="57"/>
      <c r="G21" s="57"/>
      <c r="H21" s="57"/>
      <c r="I21" s="57"/>
      <c r="J21" s="57"/>
      <c r="K21" s="57"/>
      <c r="L21" s="57"/>
      <c r="M21" s="57"/>
      <c r="N21" s="57"/>
      <c r="O21" s="57"/>
      <c r="P21" s="57"/>
      <c r="Q21" s="57"/>
      <c r="R21" s="57"/>
    </row>
    <row r="22" spans="2:18" ht="15">
      <c r="B22" s="57"/>
      <c r="C22" s="57"/>
      <c r="D22" s="57"/>
      <c r="E22" s="57"/>
      <c r="F22" s="57"/>
      <c r="G22" s="57"/>
      <c r="H22" s="57"/>
      <c r="I22" s="57"/>
      <c r="J22" s="57"/>
      <c r="K22" s="57"/>
      <c r="L22" s="57"/>
      <c r="M22" s="57"/>
      <c r="N22" s="57"/>
      <c r="O22" s="57"/>
      <c r="P22" s="57"/>
      <c r="Q22" s="57"/>
      <c r="R22" s="57"/>
    </row>
    <row r="23" spans="2:18" ht="15">
      <c r="B23" s="57"/>
      <c r="C23" s="57"/>
      <c r="D23" s="57"/>
      <c r="E23" s="57"/>
      <c r="F23" s="57"/>
      <c r="G23" s="57"/>
      <c r="H23" s="57"/>
      <c r="I23" s="57"/>
      <c r="J23" s="57"/>
      <c r="K23" s="57"/>
      <c r="L23" s="57"/>
      <c r="M23" s="57"/>
      <c r="N23" s="57"/>
      <c r="O23" s="57"/>
      <c r="P23" s="57"/>
      <c r="Q23" s="57"/>
      <c r="R23" s="57"/>
    </row>
    <row r="24" spans="2:18" ht="15">
      <c r="B24" s="57"/>
      <c r="C24" s="57"/>
      <c r="D24" s="57"/>
      <c r="E24" s="57"/>
      <c r="F24" s="57"/>
      <c r="G24" s="57"/>
      <c r="H24" s="57"/>
      <c r="I24" s="57"/>
      <c r="J24" s="57"/>
      <c r="K24" s="57"/>
      <c r="L24" s="57"/>
      <c r="M24" s="57"/>
      <c r="N24" s="57"/>
      <c r="O24" s="57"/>
      <c r="P24" s="57"/>
      <c r="Q24" s="57"/>
      <c r="R24" s="57"/>
    </row>
    <row r="25" spans="2:18" ht="15">
      <c r="B25" s="57"/>
      <c r="C25" s="57"/>
      <c r="D25" s="57"/>
      <c r="E25" s="57"/>
      <c r="F25" s="57"/>
      <c r="G25" s="57"/>
      <c r="H25" s="57"/>
      <c r="I25" s="57"/>
      <c r="J25" s="57"/>
      <c r="K25" s="57"/>
      <c r="L25" s="57"/>
      <c r="M25" s="57"/>
      <c r="N25" s="57"/>
      <c r="O25" s="57"/>
      <c r="P25" s="57"/>
      <c r="Q25" s="57"/>
      <c r="R25" s="57"/>
    </row>
    <row r="26" spans="2:18" ht="15">
      <c r="B26" s="57"/>
      <c r="C26" s="57"/>
      <c r="D26" s="57"/>
      <c r="E26" s="57"/>
      <c r="F26" s="57"/>
      <c r="G26" s="57"/>
      <c r="H26" s="57"/>
      <c r="I26" s="57"/>
      <c r="J26" s="57"/>
      <c r="K26" s="57"/>
      <c r="L26" s="57"/>
      <c r="M26" s="57"/>
      <c r="N26" s="57"/>
      <c r="O26" s="57"/>
      <c r="P26" s="57"/>
      <c r="Q26" s="57"/>
      <c r="R26" s="57"/>
    </row>
    <row r="27" spans="2:18" ht="15">
      <c r="B27" s="57"/>
      <c r="C27" s="57"/>
      <c r="D27" s="57"/>
      <c r="E27" s="57"/>
      <c r="F27" s="57"/>
      <c r="G27" s="57"/>
      <c r="H27" s="57"/>
      <c r="I27" s="57"/>
      <c r="J27" s="57"/>
      <c r="K27" s="57"/>
      <c r="L27" s="57"/>
      <c r="M27" s="57"/>
      <c r="N27" s="57"/>
      <c r="O27" s="57"/>
      <c r="P27" s="57"/>
      <c r="Q27" s="57"/>
      <c r="R27" s="57"/>
    </row>
    <row r="28" spans="2:8" ht="15">
      <c r="B28" s="57"/>
      <c r="C28" s="57"/>
      <c r="D28" s="57"/>
      <c r="E28" s="57"/>
      <c r="F28" s="57"/>
      <c r="G28" s="57"/>
      <c r="H28" s="57"/>
    </row>
    <row r="29" spans="2:8" ht="15">
      <c r="B29" s="57"/>
      <c r="C29" s="57"/>
      <c r="D29" s="57"/>
      <c r="E29" s="57"/>
      <c r="F29" s="57"/>
      <c r="G29" s="57"/>
      <c r="H29" s="5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 Franco - Internacionalizacion</dc:creator>
  <cp:keywords/>
  <dc:description/>
  <cp:lastModifiedBy>Johana</cp:lastModifiedBy>
  <cp:lastPrinted>2018-02-06T21:12:54Z</cp:lastPrinted>
  <dcterms:created xsi:type="dcterms:W3CDTF">2017-03-10T13:09:46Z</dcterms:created>
  <dcterms:modified xsi:type="dcterms:W3CDTF">2020-03-23T20:29:58Z</dcterms:modified>
  <cp:category/>
  <cp:version/>
  <cp:contentType/>
  <cp:contentStatus/>
</cp:coreProperties>
</file>